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35" tabRatio="601" activeTab="0"/>
  </bookViews>
  <sheets>
    <sheet name="Summary CY A" sheetId="1" r:id="rId1"/>
    <sheet name="Summary CY" sheetId="2" r:id="rId2"/>
    <sheet name="addresses" sheetId="3" r:id="rId3"/>
    <sheet name="43" sheetId="4" r:id="rId4"/>
    <sheet name="Total" sheetId="5" r:id="rId5"/>
    <sheet name="yyyy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</sheets>
  <externalReferences>
    <externalReference r:id="rId25"/>
    <externalReference r:id="rId26"/>
    <externalReference r:id="rId27"/>
  </externalReferences>
  <definedNames>
    <definedName name="_90CI" localSheetId="16">'[2]Meyer'!$B$292</definedName>
    <definedName name="_90CI">'[1]Meyer'!$B$292</definedName>
    <definedName name="_91CI" localSheetId="16">'[2]Meyer'!$B$293</definedName>
    <definedName name="_91CI">'[1]Meyer'!$B$293</definedName>
    <definedName name="_92CI" localSheetId="16">'[2]Meyer'!$B$294</definedName>
    <definedName name="_92CI">'[1]Meyer'!$B$294</definedName>
    <definedName name="_93CI" localSheetId="16">'[2]Meyer'!$B$295</definedName>
    <definedName name="_93CI">'[1]Meyer'!$B$295</definedName>
    <definedName name="_94CI" localSheetId="16">'[2]Meyer'!$B$296</definedName>
    <definedName name="_94CI">'[1]Meyer'!$B$296</definedName>
    <definedName name="_95CI" localSheetId="16">'[2]Meyer'!$B$297</definedName>
    <definedName name="_95CI">'[1]Meyer'!$B$297</definedName>
    <definedName name="DEF" localSheetId="16">'[2]Meyer'!$D$203</definedName>
    <definedName name="DEF">'[1]Meyer'!$D$203</definedName>
    <definedName name="_xlnm.Print_Area" localSheetId="21">'1996'!$A$27:$R$49</definedName>
    <definedName name="_xlnm.Print_Area" localSheetId="20">'1997'!$A$28:$R$50</definedName>
    <definedName name="_xlnm.Print_Area" localSheetId="19">'1998'!$A$1:$Q$48</definedName>
    <definedName name="_xlnm.Print_Area" localSheetId="17">'2000'!$B$25:$Q$48</definedName>
    <definedName name="_xlnm.Print_Area" localSheetId="15">'2002'!$B$25:$O$47</definedName>
    <definedName name="_xlnm.Print_Area" localSheetId="4">'Total'!$A$2:$N$30</definedName>
  </definedNames>
  <calcPr fullCalcOnLoad="1"/>
</workbook>
</file>

<file path=xl/comments1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10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11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12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13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2.xml><?xml version="1.0" encoding="utf-8"?>
<comments xmlns="http://schemas.openxmlformats.org/spreadsheetml/2006/main">
  <authors>
    <author>o_hakizimana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</commentList>
</comments>
</file>

<file path=xl/comments21.xml><?xml version="1.0" encoding="utf-8"?>
<comments xmlns="http://schemas.openxmlformats.org/spreadsheetml/2006/main">
  <authors>
    <author>MINIPLAN</author>
  </authors>
  <commentList>
    <comment ref="G9" authorId="0">
      <text>
        <r>
          <rPr>
            <sz val="12"/>
            <rFont val="Arial"/>
            <family val="2"/>
          </rPr>
          <t>Peut-être 70,744 kgs?</t>
        </r>
      </text>
    </comment>
  </commentList>
</comments>
</file>

<file path=xl/comments22.xml><?xml version="1.0" encoding="utf-8"?>
<comments xmlns="http://schemas.openxmlformats.org/spreadsheetml/2006/main">
  <authors>
    <author>Un utilisateur satisfait de Microsoft Office</author>
  </authors>
  <commentList>
    <comment ref="C17" authorId="0">
      <text>
        <r>
          <rPr>
            <sz val="8"/>
            <rFont val="Tahoma"/>
            <family val="2"/>
          </rPr>
          <t>1995, Sorwathé:  is it 2,004,412 or 2,164,400 ?</t>
        </r>
      </text>
    </comment>
  </commentList>
</comments>
</file>

<file path=xl/comments6.xml><?xml version="1.0" encoding="utf-8"?>
<comments xmlns="http://schemas.openxmlformats.org/spreadsheetml/2006/main">
  <authors>
    <author>o_hakizimana</author>
    <author>smugabe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  <comment ref="B1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=Sorwathe+Nshili Kivu (which is not appearing)</t>
        </r>
      </text>
    </comment>
    <comment ref="C44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5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6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</commentList>
</comments>
</file>

<file path=xl/comments7.xml><?xml version="1.0" encoding="utf-8"?>
<comments xmlns="http://schemas.openxmlformats.org/spreadsheetml/2006/main">
  <authors>
    <author>o_hakizimana</author>
    <author>smugabe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  <comment ref="B1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=Sorwathe+Nshili Kivu (which is not appearing)</t>
        </r>
      </text>
    </comment>
    <comment ref="C44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5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6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</commentList>
</comments>
</file>

<file path=xl/comments8.xml><?xml version="1.0" encoding="utf-8"?>
<comments xmlns="http://schemas.openxmlformats.org/spreadsheetml/2006/main">
  <authors>
    <author>o_hakizimana</author>
    <author>smugabe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  <comment ref="C44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B1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=Sorwathe+Nshili Kivu (which is not appearing)</t>
        </r>
      </text>
    </comment>
    <comment ref="C45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6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=Pfunda TC+ATP Pfunda
</t>
        </r>
      </text>
    </comment>
    <comment ref="I11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* Nyabihu tea factory has been closed since to enable extension of manufacturing facilities
</t>
        </r>
      </text>
    </comment>
  </commentList>
</comments>
</file>

<file path=xl/comments9.xml><?xml version="1.0" encoding="utf-8"?>
<comments xmlns="http://schemas.openxmlformats.org/spreadsheetml/2006/main">
  <authors>
    <author>o_hakizimana</author>
    <author>smugabe</author>
  </authors>
  <commentList>
    <comment ref="B12" authorId="0">
      <text>
        <r>
          <rPr>
            <sz val="8"/>
            <rFont val="Tahoma"/>
            <family val="2"/>
          </rPr>
          <t>A ne pas mettre dans le total OCIR-THE depuis sa privatisation (Nov.2004)</t>
        </r>
      </text>
    </comment>
    <comment ref="C44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=sorwathé+assopthé</t>
        </r>
      </text>
    </comment>
    <comment ref="C46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=ATP+PTC</t>
        </r>
      </text>
    </comment>
    <comment ref="B17" authorId="1">
      <text>
        <r>
          <rPr>
            <b/>
            <sz val="8"/>
            <rFont val="Tahoma"/>
            <family val="2"/>
          </rPr>
          <t>smugabe:</t>
        </r>
        <r>
          <rPr>
            <sz val="8"/>
            <rFont val="Tahoma"/>
            <family val="2"/>
          </rPr>
          <t xml:space="preserve">
=Sorwathe+Nshili Kivu (which is not appearing)</t>
        </r>
      </text>
    </comment>
  </commentList>
</comments>
</file>

<file path=xl/sharedStrings.xml><?xml version="1.0" encoding="utf-8"?>
<sst xmlns="http://schemas.openxmlformats.org/spreadsheetml/2006/main" count="2195" uniqueCount="202">
  <si>
    <t>Ventes du Thé Noir selon les Marchés,  1996</t>
  </si>
  <si>
    <t>(en kg)</t>
  </si>
  <si>
    <t>(en kg, en $US)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</si>
  <si>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</si>
  <si>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</si>
  <si>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</si>
  <si>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</si>
  <si>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</si>
  <si>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</si>
  <si>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</si>
  <si>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</si>
  <si>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</si>
  <si>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</si>
  <si>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</si>
  <si>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</si>
  <si>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</t>
  </si>
  <si>
    <t>Ratios</t>
  </si>
  <si>
    <t>Gisakura</t>
  </si>
  <si>
    <t>Gisovu</t>
  </si>
  <si>
    <t>Kitabi</t>
  </si>
  <si>
    <t>Mata</t>
  </si>
  <si>
    <t>Mulindi</t>
  </si>
  <si>
    <t>Nyabihu</t>
  </si>
  <si>
    <t>Pfunda</t>
  </si>
  <si>
    <t>Rubaya</t>
  </si>
  <si>
    <t>Shagasha</t>
  </si>
  <si>
    <t xml:space="preserve">   -- Sous Total</t>
  </si>
  <si>
    <t>Sorwathé</t>
  </si>
  <si>
    <t>TOTAL</t>
  </si>
  <si>
    <t>Source:   OCIR THE, Section Production</t>
  </si>
  <si>
    <t/>
  </si>
  <si>
    <t>Cyohoha-Rukeri</t>
  </si>
  <si>
    <t>Enchères, Mombasa</t>
  </si>
  <si>
    <t xml:space="preserve">    a. quantité</t>
  </si>
  <si>
    <t xml:space="preserve">    b. valeur</t>
  </si>
  <si>
    <t>Private Sales, Mombasa</t>
  </si>
  <si>
    <t>Private Sales, London</t>
  </si>
  <si>
    <t>Enchères, Londres (auction)</t>
  </si>
  <si>
    <t xml:space="preserve">    a. quantité (kg)</t>
  </si>
  <si>
    <t xml:space="preserve">    b. valeur ($)</t>
  </si>
  <si>
    <t>Source:   OCIR THE, Section Commerciale</t>
  </si>
  <si>
    <t>Ventes du Thé Noir selon les Marchés,  1997</t>
  </si>
  <si>
    <t>Ex-Warehouse, Mombasa</t>
  </si>
  <si>
    <t>Fob, Mombasa</t>
  </si>
  <si>
    <t>Enchères, Londres</t>
  </si>
  <si>
    <t>TOTAL GENERALE</t>
  </si>
  <si>
    <t>*</t>
  </si>
  <si>
    <t>Ventes du Thé Noir selon les Marchés,  1998</t>
  </si>
  <si>
    <t>Oct</t>
  </si>
  <si>
    <t>Nov</t>
  </si>
  <si>
    <t>TOTAL Cumul</t>
  </si>
  <si>
    <t>Production Feuilles Vertes,  1997</t>
  </si>
  <si>
    <t>production</t>
  </si>
  <si>
    <t>Production des Feuilles Vertes,  1998</t>
  </si>
  <si>
    <t>Production du Thé Noir,  1996</t>
  </si>
  <si>
    <t>Production des Feuilles Vertes,  1996</t>
  </si>
  <si>
    <t>Production du Thé Noir,  1997</t>
  </si>
  <si>
    <t>Assopthé</t>
  </si>
  <si>
    <t>Source:   OCIR THE &amp; Sorwathé</t>
  </si>
  <si>
    <t>Exportations du Thé Noir</t>
  </si>
  <si>
    <t>Ratios :    thé noir / thé vert</t>
  </si>
  <si>
    <t>cumul :  juin 1998</t>
  </si>
  <si>
    <t>Production Mensuelle du Thé Noir, par Usine :  1998</t>
  </si>
  <si>
    <t>Source:   OCIR THE &amp; Sorwathé; BNR</t>
  </si>
  <si>
    <t>Production Mensuelle du Thé Noir, par Usine :  1999</t>
  </si>
  <si>
    <t>Production des Feuilles Vertes,  1999</t>
  </si>
  <si>
    <t>Mata + Nshili kivu</t>
  </si>
  <si>
    <t>Production Mensuelle du Thé Noir, par Usine :  2000</t>
  </si>
  <si>
    <t>Production des Feuilles Vertes,  2000</t>
  </si>
  <si>
    <t xml:space="preserve">Jan </t>
  </si>
  <si>
    <t>Feb</t>
  </si>
  <si>
    <t xml:space="preserve">May </t>
  </si>
  <si>
    <t>Aug</t>
  </si>
  <si>
    <t>Dec</t>
  </si>
  <si>
    <t>Mar</t>
  </si>
  <si>
    <t>Apr</t>
  </si>
  <si>
    <t>Jul</t>
  </si>
  <si>
    <t>Sep</t>
  </si>
  <si>
    <t xml:space="preserve">Jun </t>
  </si>
  <si>
    <t>Production Mensuelle du Thé Noir, par Usine :  2001</t>
  </si>
  <si>
    <t>Production des Feuilles Vertes,  2001</t>
  </si>
  <si>
    <t>Production Mensuelle du Thé Noir, par Usine :  2002</t>
  </si>
  <si>
    <t>Production des Feuilles Vertes,  2002</t>
  </si>
  <si>
    <t>MARS</t>
  </si>
  <si>
    <t>Jan-Dec</t>
  </si>
  <si>
    <t>Thé noir</t>
  </si>
  <si>
    <t>Feuilles vertes</t>
  </si>
  <si>
    <t>TEA (en Tonnes)</t>
  </si>
  <si>
    <t>Production Mensuelle du Thé Noir, par Usine :  2003</t>
  </si>
  <si>
    <t>Production des Feuilles Vertes,  2003</t>
  </si>
  <si>
    <t>Prix à l'exportation</t>
  </si>
  <si>
    <t>JANV</t>
  </si>
  <si>
    <t>FEVRE</t>
  </si>
  <si>
    <t>EN $</t>
  </si>
  <si>
    <t>COURS DE CHANGE EN frw</t>
  </si>
  <si>
    <t>Thé noir en valeur</t>
  </si>
  <si>
    <t>Prix en FRW</t>
  </si>
  <si>
    <t>Check</t>
  </si>
  <si>
    <t>Tea production</t>
  </si>
  <si>
    <t>Black Tea (tonnes)</t>
  </si>
  <si>
    <t>Grenn Tea</t>
  </si>
  <si>
    <t>Production Mensuelle du Thé Noir, par Usine :  2004</t>
  </si>
  <si>
    <t>Production des Feuilles Vertes,  2004</t>
  </si>
  <si>
    <t>Sous-Total</t>
  </si>
  <si>
    <t>Nshili kivu</t>
  </si>
  <si>
    <t xml:space="preserve">Mata </t>
  </si>
  <si>
    <t>ATP Pfunda</t>
  </si>
  <si>
    <t>Pfunda Tea Company</t>
  </si>
  <si>
    <t>Production Mensuelle du Thé Noir, par Usine :  2005</t>
  </si>
  <si>
    <t>Production des Feuilles Vertes,  2005</t>
  </si>
  <si>
    <t>Production Mensuelle du Thé Noir, par Usine :  2006</t>
  </si>
  <si>
    <t>Production des Feuilles Vertes,  2006</t>
  </si>
  <si>
    <t>Nshili</t>
  </si>
  <si>
    <t xml:space="preserve">   -- Sous Total OCIR THE</t>
  </si>
  <si>
    <t>Nshili Prive</t>
  </si>
  <si>
    <t>Rubaya prive</t>
  </si>
  <si>
    <t>Nyabihu prive</t>
  </si>
  <si>
    <t>Year 2007</t>
  </si>
  <si>
    <t>Production Mensuelle du Thé Noir, par Usine :  2007</t>
  </si>
  <si>
    <t>Production des Feuilles Vertes,  2007</t>
  </si>
  <si>
    <t>Tea units</t>
  </si>
  <si>
    <t>MULINDI</t>
  </si>
  <si>
    <t>SHAGASHA</t>
  </si>
  <si>
    <t>GISAKURA</t>
  </si>
  <si>
    <t>MATA</t>
  </si>
  <si>
    <t>KITABI</t>
  </si>
  <si>
    <t>GISOVU</t>
  </si>
  <si>
    <t>TOTAL OCIR</t>
  </si>
  <si>
    <t>RUBAYA</t>
  </si>
  <si>
    <t>NYABIHU</t>
  </si>
  <si>
    <t>SORWATHE</t>
  </si>
  <si>
    <t>PFUNDA TEA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</si>
  <si>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</si>
  <si>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</si>
  <si>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</si>
  <si>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</si>
  <si>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</si>
  <si>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</si>
  <si>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</si>
  <si>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</si>
  <si>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</si>
  <si>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</si>
  <si>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</si>
  <si>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</si>
  <si>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MULINDI  </t>
  </si>
  <si>
    <t>TOT.OCIR</t>
  </si>
  <si>
    <t>NSHILI</t>
  </si>
  <si>
    <t>SORWATHE.</t>
  </si>
  <si>
    <t>PFUNDA</t>
  </si>
  <si>
    <t xml:space="preserve">TOTAL </t>
  </si>
  <si>
    <t>Total</t>
  </si>
  <si>
    <t>Enchères, Mombasa OCIR THE</t>
  </si>
  <si>
    <t xml:space="preserve">    c. us$/kg</t>
  </si>
  <si>
    <t>Enchères, unités privées Sorwathe</t>
  </si>
  <si>
    <t>Enchères, unités privées Rwanda mountain tea</t>
  </si>
  <si>
    <t>Enchères, unités privées Pfunda tea company</t>
  </si>
  <si>
    <t>TOTAL General Enchères, niveau national</t>
  </si>
  <si>
    <t>Ventes fermes OCIR THE</t>
  </si>
  <si>
    <t>Ventes fermes SORWATHE</t>
  </si>
  <si>
    <t>Ventes fermes PFUNDA TEA COMPANY</t>
  </si>
  <si>
    <t>Ventes fermes TOTAL NATIONAL</t>
  </si>
  <si>
    <t>TOTAL GENERALE Enchères &amp; Ventes fermes niveau national</t>
  </si>
  <si>
    <t>Ventes du Thé Noir selon les Marchés,  2007</t>
  </si>
  <si>
    <t xml:space="preserve">   -- Sous Total OCIR</t>
  </si>
  <si>
    <t>Production des Feuilles Vertes,  2008</t>
  </si>
  <si>
    <t>Year 2008</t>
  </si>
  <si>
    <t>Production Mensuelle du Thé Noir, par Usine :  2008</t>
  </si>
  <si>
    <t>Q1</t>
  </si>
  <si>
    <t>Q2</t>
  </si>
  <si>
    <t>Q3</t>
  </si>
  <si>
    <t>Q4</t>
  </si>
  <si>
    <t>C</t>
  </si>
  <si>
    <t>E</t>
  </si>
  <si>
    <t>F</t>
  </si>
  <si>
    <t>H</t>
  </si>
  <si>
    <t>I</t>
  </si>
  <si>
    <t>K</t>
  </si>
  <si>
    <t>L</t>
  </si>
  <si>
    <t>N</t>
  </si>
  <si>
    <t xml:space="preserve">Table 43: Production Feuille Verte/Green leaf production (National level; Niveau national; en/in kg, 1996-2008) </t>
  </si>
  <si>
    <t>UNITE</t>
  </si>
  <si>
    <t>Nkuli,</t>
  </si>
  <si>
    <t>TOT OCIR</t>
  </si>
  <si>
    <t>Nshili Privé</t>
  </si>
  <si>
    <t xml:space="preserve">P.T.C; ATP </t>
  </si>
  <si>
    <t>Rubaya R</t>
  </si>
  <si>
    <t>Nyabihu R</t>
  </si>
  <si>
    <t>Total National</t>
  </si>
  <si>
    <t>Source: Ocir thé</t>
  </si>
  <si>
    <t>Nshili Kivu</t>
  </si>
  <si>
    <t>Black Tea (thousand tonnes)</t>
  </si>
  <si>
    <t>Production des Feuilles Vertes,  2009</t>
  </si>
  <si>
    <t>Year 2009</t>
  </si>
  <si>
    <t>Production Mensuelle du Thé Noir, par Usine :  2009</t>
  </si>
  <si>
    <t>Year 2010</t>
  </si>
  <si>
    <t>Production Mensuelle du Thé Noir, par Usine :  2010</t>
  </si>
  <si>
    <t>Production des Feuilles Vertes,  2010</t>
  </si>
  <si>
    <t>Production des Feuilles Vertes,  201y</t>
  </si>
  <si>
    <t>Production Mensuelle du Thé Noir, par Usine :  201y</t>
  </si>
  <si>
    <t>Year 201y</t>
  </si>
  <si>
    <t>Year 2011</t>
  </si>
  <si>
    <t>Production Mensuelle du Thé Noir, par Usine :  2011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</si>
</sst>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4.75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9.5"/>
      <color indexed="8"/>
      <name val="Arial"/>
      <family val="2"/>
    </font>
    <font>
      <sz val="3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7" borderId="0" applyNumberFormat="0" applyBorder="0" applyAlignment="0" applyProtection="0"/>
    <xf numFmtId="0" fontId="62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49" fillId="18" borderId="1" applyNumberFormat="0" applyAlignment="0" applyProtection="0"/>
    <xf numFmtId="0" fontId="65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9" borderId="1" applyNumberFormat="0" applyAlignment="0" applyProtection="0"/>
    <xf numFmtId="0" fontId="37" fillId="0" borderId="6" applyNumberFormat="0" applyFill="0" applyAlignment="0" applyProtection="0"/>
    <xf numFmtId="0" fontId="54" fillId="20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21" borderId="7" applyNumberFormat="0" applyFont="0" applyAlignment="0" applyProtection="0"/>
    <xf numFmtId="0" fontId="69" fillId="1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21" fillId="0" borderId="0" applyFill="0" applyBorder="0" applyProtection="0">
      <alignment/>
    </xf>
    <xf numFmtId="0" fontId="38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15" fontId="4" fillId="0" borderId="0" xfId="0" applyNumberFormat="1" applyFont="1" applyAlignment="1">
      <alignment horizontal="left"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1" fontId="6" fillId="0" borderId="12" xfId="63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1" fontId="0" fillId="0" borderId="16" xfId="63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0" fontId="8" fillId="0" borderId="18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1" fontId="6" fillId="0" borderId="20" xfId="63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3" xfId="0" applyFont="1" applyBorder="1" applyAlignment="1" quotePrefix="1">
      <alignment horizontal="left"/>
    </xf>
    <xf numFmtId="181" fontId="0" fillId="0" borderId="12" xfId="63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0" fontId="1" fillId="22" borderId="15" xfId="0" applyFont="1" applyFill="1" applyBorder="1" applyAlignment="1">
      <alignment/>
    </xf>
    <xf numFmtId="180" fontId="11" fillId="22" borderId="15" xfId="0" applyNumberFormat="1" applyFont="1" applyFill="1" applyBorder="1" applyAlignment="1">
      <alignment/>
    </xf>
    <xf numFmtId="180" fontId="11" fillId="22" borderId="24" xfId="0" applyNumberFormat="1" applyFont="1" applyFill="1" applyBorder="1" applyAlignment="1">
      <alignment/>
    </xf>
    <xf numFmtId="181" fontId="11" fillId="22" borderId="25" xfId="63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1" fillId="22" borderId="15" xfId="0" applyNumberFormat="1" applyFont="1" applyFill="1" applyBorder="1" applyAlignment="1">
      <alignment/>
    </xf>
    <xf numFmtId="3" fontId="11" fillId="22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180" fontId="11" fillId="0" borderId="11" xfId="0" applyNumberFormat="1" applyFont="1" applyBorder="1" applyAlignment="1">
      <alignment/>
    </xf>
    <xf numFmtId="181" fontId="11" fillId="0" borderId="18" xfId="63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1" fontId="11" fillId="0" borderId="16" xfId="63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80" fontId="11" fillId="0" borderId="15" xfId="0" applyNumberFormat="1" applyFont="1" applyFill="1" applyBorder="1" applyAlignment="1">
      <alignment/>
    </xf>
    <xf numFmtId="180" fontId="11" fillId="0" borderId="24" xfId="0" applyNumberFormat="1" applyFont="1" applyFill="1" applyBorder="1" applyAlignment="1">
      <alignment/>
    </xf>
    <xf numFmtId="181" fontId="11" fillId="0" borderId="16" xfId="63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Font="1" applyFill="1" applyBorder="1" applyAlignment="1" quotePrefix="1">
      <alignment horizontal="left"/>
    </xf>
    <xf numFmtId="181" fontId="5" fillId="0" borderId="15" xfId="63" applyNumberFormat="1" applyFont="1" applyFill="1" applyBorder="1" applyAlignment="1">
      <alignment/>
    </xf>
    <xf numFmtId="181" fontId="5" fillId="0" borderId="24" xfId="63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181" fontId="5" fillId="0" borderId="10" xfId="63" applyNumberFormat="1" applyFont="1" applyFill="1" applyBorder="1" applyAlignment="1">
      <alignment/>
    </xf>
    <xf numFmtId="180" fontId="6" fillId="0" borderId="11" xfId="0" applyNumberFormat="1" applyFont="1" applyBorder="1" applyAlignment="1">
      <alignment/>
    </xf>
    <xf numFmtId="181" fontId="11" fillId="22" borderId="16" xfId="63" applyNumberFormat="1" applyFont="1" applyFill="1" applyBorder="1" applyAlignment="1">
      <alignment/>
    </xf>
    <xf numFmtId="0" fontId="1" fillId="22" borderId="15" xfId="0" applyFont="1" applyFill="1" applyBorder="1" applyAlignment="1" quotePrefix="1">
      <alignment horizontal="left"/>
    </xf>
    <xf numFmtId="180" fontId="12" fillId="22" borderId="15" xfId="0" applyNumberFormat="1" applyFont="1" applyFill="1" applyBorder="1" applyAlignment="1">
      <alignment/>
    </xf>
    <xf numFmtId="180" fontId="11" fillId="22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left"/>
    </xf>
    <xf numFmtId="3" fontId="7" fillId="0" borderId="24" xfId="63" applyNumberFormat="1" applyFont="1" applyFill="1" applyBorder="1" applyAlignment="1">
      <alignment/>
    </xf>
    <xf numFmtId="3" fontId="7" fillId="0" borderId="15" xfId="63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181" fontId="0" fillId="0" borderId="0" xfId="63" applyNumberFormat="1" applyFont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5" fillId="5" borderId="13" xfId="0" applyFont="1" applyFill="1" applyBorder="1" applyAlignment="1" quotePrefix="1">
      <alignment horizontal="left"/>
    </xf>
    <xf numFmtId="3" fontId="16" fillId="5" borderId="14" xfId="0" applyNumberFormat="1" applyFont="1" applyFill="1" applyBorder="1" applyAlignment="1">
      <alignment/>
    </xf>
    <xf numFmtId="3" fontId="16" fillId="5" borderId="13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0" xfId="0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181" fontId="0" fillId="18" borderId="0" xfId="63" applyNumberFormat="1" applyFont="1" applyFill="1" applyAlignment="1">
      <alignment/>
    </xf>
    <xf numFmtId="15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21" xfId="0" applyFont="1" applyBorder="1" applyAlignment="1">
      <alignment/>
    </xf>
    <xf numFmtId="0" fontId="17" fillId="0" borderId="21" xfId="0" applyFont="1" applyBorder="1" applyAlignment="1">
      <alignment horizontal="centerContinuous"/>
    </xf>
    <xf numFmtId="0" fontId="14" fillId="0" borderId="21" xfId="0" applyFont="1" applyBorder="1" applyAlignment="1">
      <alignment horizontal="centerContinuous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3" fontId="16" fillId="0" borderId="11" xfId="0" applyNumberFormat="1" applyFont="1" applyBorder="1" applyAlignment="1">
      <alignment/>
    </xf>
    <xf numFmtId="181" fontId="18" fillId="0" borderId="12" xfId="63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5" borderId="0" xfId="0" applyFont="1" applyFill="1" applyAlignment="1">
      <alignment/>
    </xf>
    <xf numFmtId="3" fontId="18" fillId="5" borderId="11" xfId="0" applyNumberFormat="1" applyFont="1" applyFill="1" applyBorder="1" applyAlignment="1">
      <alignment/>
    </xf>
    <xf numFmtId="181" fontId="18" fillId="5" borderId="12" xfId="63" applyNumberFormat="1" applyFont="1" applyFill="1" applyBorder="1" applyAlignment="1">
      <alignment/>
    </xf>
    <xf numFmtId="3" fontId="14" fillId="18" borderId="0" xfId="0" applyNumberFormat="1" applyFont="1" applyFill="1" applyAlignment="1">
      <alignment/>
    </xf>
    <xf numFmtId="181" fontId="14" fillId="0" borderId="12" xfId="63" applyNumberFormat="1" applyFont="1" applyBorder="1" applyAlignment="1">
      <alignment/>
    </xf>
    <xf numFmtId="0" fontId="14" fillId="0" borderId="15" xfId="0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81" fontId="14" fillId="0" borderId="16" xfId="63" applyNumberFormat="1" applyFont="1" applyBorder="1" applyAlignment="1">
      <alignment/>
    </xf>
    <xf numFmtId="0" fontId="15" fillId="22" borderId="15" xfId="0" applyFont="1" applyFill="1" applyBorder="1" applyAlignment="1">
      <alignment/>
    </xf>
    <xf numFmtId="3" fontId="19" fillId="22" borderId="24" xfId="0" applyNumberFormat="1" applyFont="1" applyFill="1" applyBorder="1" applyAlignment="1">
      <alignment/>
    </xf>
    <xf numFmtId="3" fontId="19" fillId="22" borderId="15" xfId="0" applyNumberFormat="1" applyFont="1" applyFill="1" applyBorder="1" applyAlignment="1">
      <alignment/>
    </xf>
    <xf numFmtId="181" fontId="19" fillId="22" borderId="25" xfId="63" applyNumberFormat="1" applyFont="1" applyFill="1" applyBorder="1" applyAlignment="1">
      <alignment/>
    </xf>
    <xf numFmtId="0" fontId="15" fillId="22" borderId="15" xfId="0" applyFont="1" applyFill="1" applyBorder="1" applyAlignment="1" quotePrefix="1">
      <alignment horizontal="left"/>
    </xf>
    <xf numFmtId="3" fontId="20" fillId="22" borderId="15" xfId="0" applyNumberFormat="1" applyFont="1" applyFill="1" applyBorder="1" applyAlignment="1">
      <alignment/>
    </xf>
    <xf numFmtId="3" fontId="19" fillId="22" borderId="10" xfId="0" applyNumberFormat="1" applyFont="1" applyFill="1" applyBorder="1" applyAlignment="1">
      <alignment/>
    </xf>
    <xf numFmtId="181" fontId="19" fillId="22" borderId="16" xfId="63" applyNumberFormat="1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19" xfId="0" applyFont="1" applyBorder="1" applyAlignment="1" quotePrefix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left"/>
    </xf>
    <xf numFmtId="3" fontId="16" fillId="0" borderId="14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16" fillId="0" borderId="11" xfId="0" applyNumberFormat="1" applyFont="1" applyBorder="1" applyAlignment="1">
      <alignment/>
    </xf>
    <xf numFmtId="180" fontId="14" fillId="0" borderId="24" xfId="0" applyNumberFormat="1" applyFont="1" applyBorder="1" applyAlignment="1">
      <alignment/>
    </xf>
    <xf numFmtId="180" fontId="14" fillId="0" borderId="15" xfId="0" applyNumberFormat="1" applyFont="1" applyBorder="1" applyAlignment="1">
      <alignment/>
    </xf>
    <xf numFmtId="180" fontId="16" fillId="0" borderId="10" xfId="0" applyNumberFormat="1" applyFont="1" applyBorder="1" applyAlignment="1">
      <alignment/>
    </xf>
    <xf numFmtId="15" fontId="0" fillId="0" borderId="0" xfId="0" applyNumberFormat="1" applyFont="1" applyAlignment="1">
      <alignment horizontal="left"/>
    </xf>
    <xf numFmtId="0" fontId="14" fillId="0" borderId="0" xfId="58" applyFont="1">
      <alignment/>
      <protection/>
    </xf>
    <xf numFmtId="0" fontId="24" fillId="0" borderId="0" xfId="58">
      <alignment/>
      <protection/>
    </xf>
    <xf numFmtId="0" fontId="14" fillId="0" borderId="26" xfId="58" applyFont="1" applyBorder="1" applyAlignment="1" quotePrefix="1">
      <alignment horizontal="left"/>
      <protection/>
    </xf>
    <xf numFmtId="182" fontId="14" fillId="0" borderId="27" xfId="42" applyNumberFormat="1" applyFont="1" applyBorder="1" applyAlignment="1">
      <alignment horizontal="center"/>
    </xf>
    <xf numFmtId="182" fontId="14" fillId="0" borderId="26" xfId="42" applyNumberFormat="1" applyFont="1" applyBorder="1" applyAlignment="1">
      <alignment horizontal="center"/>
    </xf>
    <xf numFmtId="182" fontId="14" fillId="0" borderId="28" xfId="42" applyNumberFormat="1" applyFont="1" applyBorder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Border="1">
      <alignment/>
      <protection/>
    </xf>
    <xf numFmtId="0" fontId="13" fillId="0" borderId="0" xfId="58" applyFont="1" applyBorder="1" applyAlignment="1">
      <alignment horizontal="center"/>
      <protection/>
    </xf>
    <xf numFmtId="182" fontId="22" fillId="0" borderId="0" xfId="58" applyNumberFormat="1" applyFont="1" applyBorder="1">
      <alignment/>
      <protection/>
    </xf>
    <xf numFmtId="182" fontId="13" fillId="0" borderId="0" xfId="42" applyNumberFormat="1" applyFont="1" applyBorder="1" applyAlignment="1">
      <alignment/>
    </xf>
    <xf numFmtId="0" fontId="14" fillId="0" borderId="0" xfId="58" applyFont="1" applyBorder="1">
      <alignment/>
      <protection/>
    </xf>
    <xf numFmtId="182" fontId="14" fillId="0" borderId="0" xfId="42" applyNumberFormat="1" applyFont="1" applyBorder="1" applyAlignment="1">
      <alignment/>
    </xf>
    <xf numFmtId="182" fontId="25" fillId="0" borderId="0" xfId="42" applyNumberFormat="1" applyFont="1" applyBorder="1" applyAlignment="1" quotePrefix="1">
      <alignment horizontal="center"/>
    </xf>
    <xf numFmtId="0" fontId="23" fillId="0" borderId="0" xfId="58" applyFont="1" applyAlignment="1">
      <alignment horizontal="left"/>
      <protection/>
    </xf>
    <xf numFmtId="182" fontId="13" fillId="0" borderId="0" xfId="58" applyNumberFormat="1" applyFont="1" applyBorder="1">
      <alignment/>
      <protection/>
    </xf>
    <xf numFmtId="0" fontId="13" fillId="0" borderId="0" xfId="58" applyFont="1" applyBorder="1" applyAlignment="1">
      <alignment horizontal="right"/>
      <protection/>
    </xf>
    <xf numFmtId="184" fontId="13" fillId="0" borderId="0" xfId="58" applyNumberFormat="1" applyFont="1" applyBorder="1" applyAlignment="1">
      <alignment horizontal="right"/>
      <protection/>
    </xf>
    <xf numFmtId="1" fontId="13" fillId="0" borderId="0" xfId="58" applyNumberFormat="1" applyFont="1" applyBorder="1" applyAlignment="1">
      <alignment horizontal="right"/>
      <protection/>
    </xf>
    <xf numFmtId="0" fontId="24" fillId="0" borderId="0" xfId="58" applyBorder="1">
      <alignment/>
      <protection/>
    </xf>
    <xf numFmtId="0" fontId="22" fillId="0" borderId="0" xfId="58" applyFont="1" applyBorder="1" applyAlignment="1">
      <alignment horizontal="left"/>
      <protection/>
    </xf>
    <xf numFmtId="183" fontId="13" fillId="0" borderId="0" xfId="58" applyNumberFormat="1" applyFont="1" applyAlignment="1">
      <alignment horizontal="right"/>
      <protection/>
    </xf>
    <xf numFmtId="183" fontId="22" fillId="0" borderId="0" xfId="58" applyNumberFormat="1" applyFont="1" applyBorder="1" applyAlignment="1">
      <alignment horizontal="right"/>
      <protection/>
    </xf>
    <xf numFmtId="0" fontId="14" fillId="0" borderId="0" xfId="0" applyFont="1" applyAlignment="1">
      <alignment horizontal="left"/>
    </xf>
    <xf numFmtId="0" fontId="15" fillId="22" borderId="0" xfId="0" applyFont="1" applyFill="1" applyBorder="1" applyAlignment="1">
      <alignment/>
    </xf>
    <xf numFmtId="0" fontId="15" fillId="22" borderId="0" xfId="0" applyFont="1" applyFill="1" applyBorder="1" applyAlignment="1" quotePrefix="1">
      <alignment horizontal="left"/>
    </xf>
    <xf numFmtId="3" fontId="16" fillId="0" borderId="0" xfId="0" applyNumberFormat="1" applyFont="1" applyBorder="1" applyAlignment="1">
      <alignment/>
    </xf>
    <xf numFmtId="0" fontId="14" fillId="0" borderId="21" xfId="0" applyFont="1" applyBorder="1" applyAlignment="1" quotePrefix="1">
      <alignment horizontal="center" vertical="center"/>
    </xf>
    <xf numFmtId="0" fontId="14" fillId="5" borderId="0" xfId="0" applyFont="1" applyFill="1" applyBorder="1" applyAlignment="1">
      <alignment/>
    </xf>
    <xf numFmtId="15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2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26" xfId="0" applyFont="1" applyBorder="1" applyAlignment="1">
      <alignment/>
    </xf>
    <xf numFmtId="0" fontId="31" fillId="0" borderId="0" xfId="0" applyFont="1" applyBorder="1" applyAlignment="1">
      <alignment horizontal="centerContinuous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0" xfId="0" applyFont="1" applyBorder="1" applyAlignment="1" quotePrefix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6" xfId="0" applyFont="1" applyBorder="1" applyAlignment="1" quotePrefix="1">
      <alignment horizontal="left"/>
    </xf>
    <xf numFmtId="4" fontId="29" fillId="0" borderId="0" xfId="0" applyNumberFormat="1" applyFont="1" applyBorder="1" applyAlignment="1">
      <alignment/>
    </xf>
    <xf numFmtId="4" fontId="29" fillId="0" borderId="15" xfId="0" applyNumberFormat="1" applyFont="1" applyBorder="1" applyAlignment="1">
      <alignment/>
    </xf>
    <xf numFmtId="180" fontId="29" fillId="0" borderId="32" xfId="0" applyNumberFormat="1" applyFont="1" applyBorder="1" applyAlignment="1">
      <alignment/>
    </xf>
    <xf numFmtId="2" fontId="29" fillId="0" borderId="27" xfId="0" applyNumberFormat="1" applyFont="1" applyBorder="1" applyAlignment="1">
      <alignment/>
    </xf>
    <xf numFmtId="2" fontId="29" fillId="0" borderId="26" xfId="0" applyNumberFormat="1" applyFont="1" applyBorder="1" applyAlignment="1">
      <alignment/>
    </xf>
    <xf numFmtId="2" fontId="29" fillId="0" borderId="28" xfId="0" applyNumberFormat="1" applyFont="1" applyBorder="1" applyAlignment="1">
      <alignment/>
    </xf>
    <xf numFmtId="2" fontId="29" fillId="0" borderId="33" xfId="0" applyNumberFormat="1" applyFont="1" applyBorder="1" applyAlignment="1">
      <alignment/>
    </xf>
    <xf numFmtId="4" fontId="29" fillId="0" borderId="27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4" fontId="29" fillId="0" borderId="28" xfId="0" applyNumberFormat="1" applyFont="1" applyBorder="1" applyAlignment="1">
      <alignment/>
    </xf>
    <xf numFmtId="4" fontId="29" fillId="0" borderId="33" xfId="0" applyNumberFormat="1" applyFont="1" applyBorder="1" applyAlignment="1">
      <alignment/>
    </xf>
    <xf numFmtId="180" fontId="29" fillId="0" borderId="33" xfId="0" applyNumberFormat="1" applyFont="1" applyBorder="1" applyAlignment="1">
      <alignment/>
    </xf>
    <xf numFmtId="4" fontId="29" fillId="0" borderId="34" xfId="0" applyNumberFormat="1" applyFont="1" applyBorder="1" applyAlignment="1">
      <alignment/>
    </xf>
    <xf numFmtId="4" fontId="29" fillId="0" borderId="35" xfId="0" applyNumberFormat="1" applyFont="1" applyBorder="1" applyAlignment="1">
      <alignment/>
    </xf>
    <xf numFmtId="0" fontId="29" fillId="23" borderId="26" xfId="0" applyFont="1" applyFill="1" applyBorder="1" applyAlignment="1">
      <alignment horizontal="left"/>
    </xf>
    <xf numFmtId="4" fontId="29" fillId="23" borderId="27" xfId="0" applyNumberFormat="1" applyFont="1" applyFill="1" applyBorder="1" applyAlignment="1">
      <alignment/>
    </xf>
    <xf numFmtId="4" fontId="29" fillId="23" borderId="26" xfId="0" applyNumberFormat="1" applyFont="1" applyFill="1" applyBorder="1" applyAlignment="1">
      <alignment/>
    </xf>
    <xf numFmtId="0" fontId="32" fillId="0" borderId="26" xfId="0" applyFont="1" applyBorder="1" applyAlignment="1">
      <alignment/>
    </xf>
    <xf numFmtId="4" fontId="32" fillId="0" borderId="27" xfId="0" applyNumberFormat="1" applyFont="1" applyBorder="1" applyAlignment="1">
      <alignment/>
    </xf>
    <xf numFmtId="4" fontId="32" fillId="0" borderId="34" xfId="0" applyNumberFormat="1" applyFont="1" applyBorder="1" applyAlignment="1">
      <alignment/>
    </xf>
    <xf numFmtId="4" fontId="32" fillId="0" borderId="35" xfId="0" applyNumberFormat="1" applyFont="1" applyBorder="1" applyAlignment="1">
      <alignment/>
    </xf>
    <xf numFmtId="4" fontId="32" fillId="0" borderId="33" xfId="0" applyNumberFormat="1" applyFont="1" applyBorder="1" applyAlignment="1">
      <alignment/>
    </xf>
    <xf numFmtId="0" fontId="32" fillId="0" borderId="26" xfId="0" applyFont="1" applyBorder="1" applyAlignment="1" quotePrefix="1">
      <alignment horizontal="left"/>
    </xf>
    <xf numFmtId="0" fontId="29" fillId="0" borderId="26" xfId="0" applyFont="1" applyBorder="1" applyAlignment="1">
      <alignment horizontal="left"/>
    </xf>
    <xf numFmtId="4" fontId="29" fillId="0" borderId="36" xfId="0" applyNumberFormat="1" applyFont="1" applyBorder="1" applyAlignment="1">
      <alignment/>
    </xf>
    <xf numFmtId="180" fontId="29" fillId="0" borderId="37" xfId="0" applyNumberFormat="1" applyFont="1" applyBorder="1" applyAlignment="1">
      <alignment/>
    </xf>
    <xf numFmtId="4" fontId="29" fillId="0" borderId="32" xfId="0" applyNumberFormat="1" applyFont="1" applyBorder="1" applyAlignment="1">
      <alignment/>
    </xf>
    <xf numFmtId="0" fontId="29" fillId="23" borderId="26" xfId="0" applyFont="1" applyFill="1" applyBorder="1" applyAlignment="1" quotePrefix="1">
      <alignment horizontal="left"/>
    </xf>
    <xf numFmtId="0" fontId="33" fillId="0" borderId="26" xfId="0" applyFont="1" applyBorder="1" applyAlignment="1">
      <alignment/>
    </xf>
    <xf numFmtId="4" fontId="33" fillId="0" borderId="27" xfId="0" applyNumberFormat="1" applyFont="1" applyBorder="1" applyAlignment="1">
      <alignment/>
    </xf>
    <xf numFmtId="4" fontId="33" fillId="0" borderId="34" xfId="0" applyNumberFormat="1" applyFont="1" applyBorder="1" applyAlignment="1">
      <alignment/>
    </xf>
    <xf numFmtId="4" fontId="33" fillId="0" borderId="35" xfId="0" applyNumberFormat="1" applyFont="1" applyBorder="1" applyAlignment="1">
      <alignment/>
    </xf>
    <xf numFmtId="4" fontId="33" fillId="0" borderId="33" xfId="0" applyNumberFormat="1" applyFont="1" applyBorder="1" applyAlignment="1">
      <alignment/>
    </xf>
    <xf numFmtId="0" fontId="33" fillId="0" borderId="26" xfId="0" applyFont="1" applyBorder="1" applyAlignment="1" quotePrefix="1">
      <alignment horizontal="left"/>
    </xf>
    <xf numFmtId="4" fontId="33" fillId="0" borderId="38" xfId="0" applyNumberFormat="1" applyFont="1" applyBorder="1" applyAlignment="1">
      <alignment/>
    </xf>
    <xf numFmtId="4" fontId="33" fillId="0" borderId="39" xfId="0" applyNumberFormat="1" applyFont="1" applyBorder="1" applyAlignment="1">
      <alignment/>
    </xf>
    <xf numFmtId="4" fontId="33" fillId="0" borderId="40" xfId="0" applyNumberFormat="1" applyFont="1" applyBorder="1" applyAlignment="1">
      <alignment/>
    </xf>
    <xf numFmtId="4" fontId="33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18" borderId="0" xfId="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18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/>
    </xf>
    <xf numFmtId="0" fontId="40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9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181" fontId="18" fillId="0" borderId="0" xfId="63" applyNumberFormat="1" applyFont="1" applyBorder="1" applyAlignment="1">
      <alignment/>
    </xf>
    <xf numFmtId="181" fontId="0" fillId="0" borderId="0" xfId="63" applyNumberFormat="1" applyFont="1" applyBorder="1" applyAlignment="1">
      <alignment/>
    </xf>
    <xf numFmtId="0" fontId="15" fillId="5" borderId="0" xfId="0" applyFont="1" applyFill="1" applyBorder="1" applyAlignment="1" quotePrefix="1">
      <alignment horizontal="left"/>
    </xf>
    <xf numFmtId="3" fontId="16" fillId="5" borderId="0" xfId="0" applyNumberFormat="1" applyFont="1" applyFill="1" applyBorder="1" applyAlignment="1">
      <alignment/>
    </xf>
    <xf numFmtId="181" fontId="18" fillId="5" borderId="0" xfId="63" applyNumberFormat="1" applyFont="1" applyFill="1" applyBorder="1" applyAlignment="1">
      <alignment/>
    </xf>
    <xf numFmtId="3" fontId="14" fillId="18" borderId="0" xfId="0" applyNumberFormat="1" applyFont="1" applyFill="1" applyBorder="1" applyAlignment="1">
      <alignment/>
    </xf>
    <xf numFmtId="181" fontId="0" fillId="18" borderId="0" xfId="63" applyNumberFormat="1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5" borderId="0" xfId="0" applyFill="1" applyBorder="1" applyAlignment="1">
      <alignment/>
    </xf>
    <xf numFmtId="3" fontId="18" fillId="5" borderId="0" xfId="0" applyNumberFormat="1" applyFont="1" applyFill="1" applyBorder="1" applyAlignment="1">
      <alignment/>
    </xf>
    <xf numFmtId="3" fontId="14" fillId="0" borderId="0" xfId="60" applyNumberFormat="1" applyFont="1" applyBorder="1" applyAlignment="1">
      <alignment horizontal="center"/>
      <protection/>
    </xf>
    <xf numFmtId="3" fontId="14" fillId="0" borderId="0" xfId="60" applyNumberFormat="1" applyFont="1" applyBorder="1">
      <alignment/>
      <protection/>
    </xf>
    <xf numFmtId="181" fontId="14" fillId="0" borderId="0" xfId="63" applyNumberFormat="1" applyFont="1" applyBorder="1" applyAlignment="1">
      <alignment/>
    </xf>
    <xf numFmtId="3" fontId="19" fillId="22" borderId="0" xfId="0" applyNumberFormat="1" applyFont="1" applyFill="1" applyBorder="1" applyAlignment="1">
      <alignment/>
    </xf>
    <xf numFmtId="181" fontId="19" fillId="22" borderId="0" xfId="63" applyNumberFormat="1" applyFont="1" applyFill="1" applyBorder="1" applyAlignment="1">
      <alignment/>
    </xf>
    <xf numFmtId="3" fontId="20" fillId="22" borderId="0" xfId="0" applyNumberFormat="1" applyFont="1" applyFill="1" applyBorder="1" applyAlignment="1">
      <alignment/>
    </xf>
    <xf numFmtId="0" fontId="29" fillId="0" borderId="42" xfId="0" applyFont="1" applyBorder="1" applyAlignment="1">
      <alignment horizontal="center" wrapText="1"/>
    </xf>
    <xf numFmtId="3" fontId="29" fillId="0" borderId="0" xfId="0" applyNumberFormat="1" applyFont="1" applyBorder="1" applyAlignment="1">
      <alignment horizontal="right" wrapText="1"/>
    </xf>
    <xf numFmtId="3" fontId="41" fillId="0" borderId="0" xfId="0" applyNumberFormat="1" applyFont="1" applyBorder="1" applyAlignment="1">
      <alignment/>
    </xf>
    <xf numFmtId="181" fontId="42" fillId="0" borderId="0" xfId="63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right" wrapText="1"/>
    </xf>
    <xf numFmtId="0" fontId="4" fillId="5" borderId="0" xfId="0" applyFont="1" applyFill="1" applyBorder="1" applyAlignment="1">
      <alignment/>
    </xf>
    <xf numFmtId="0" fontId="39" fillId="5" borderId="0" xfId="0" applyFont="1" applyFill="1" applyBorder="1" applyAlignment="1" quotePrefix="1">
      <alignment horizontal="left"/>
    </xf>
    <xf numFmtId="3" fontId="41" fillId="5" borderId="0" xfId="0" applyNumberFormat="1" applyFont="1" applyFill="1" applyBorder="1" applyAlignment="1">
      <alignment/>
    </xf>
    <xf numFmtId="181" fontId="42" fillId="5" borderId="0" xfId="63" applyNumberFormat="1" applyFont="1" applyFill="1" applyBorder="1" applyAlignment="1">
      <alignment/>
    </xf>
    <xf numFmtId="3" fontId="4" fillId="18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" fontId="42" fillId="5" borderId="0" xfId="0" applyNumberFormat="1" applyFont="1" applyFill="1" applyBorder="1" applyAlignment="1">
      <alignment/>
    </xf>
    <xf numFmtId="181" fontId="4" fillId="0" borderId="0" xfId="63" applyNumberFormat="1" applyFont="1" applyBorder="1" applyAlignment="1">
      <alignment/>
    </xf>
    <xf numFmtId="0" fontId="39" fillId="22" borderId="0" xfId="0" applyFont="1" applyFill="1" applyBorder="1" applyAlignment="1">
      <alignment/>
    </xf>
    <xf numFmtId="3" fontId="43" fillId="22" borderId="0" xfId="0" applyNumberFormat="1" applyFont="1" applyFill="1" applyBorder="1" applyAlignment="1">
      <alignment/>
    </xf>
    <xf numFmtId="181" fontId="43" fillId="22" borderId="0" xfId="63" applyNumberFormat="1" applyFont="1" applyFill="1" applyBorder="1" applyAlignment="1">
      <alignment/>
    </xf>
    <xf numFmtId="0" fontId="39" fillId="22" borderId="0" xfId="0" applyFont="1" applyFill="1" applyBorder="1" applyAlignment="1" quotePrefix="1">
      <alignment horizontal="left"/>
    </xf>
    <xf numFmtId="3" fontId="44" fillId="22" borderId="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183" fontId="13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 quotePrefix="1">
      <alignment horizontal="left"/>
    </xf>
    <xf numFmtId="0" fontId="15" fillId="5" borderId="0" xfId="0" applyFont="1" applyFill="1" applyBorder="1" applyAlignment="1">
      <alignment horizontal="left"/>
    </xf>
    <xf numFmtId="180" fontId="14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0" fontId="29" fillId="0" borderId="42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9" fillId="0" borderId="0" xfId="0" applyFont="1" applyBorder="1" applyAlignment="1" quotePrefix="1">
      <alignment horizontal="left"/>
    </xf>
    <xf numFmtId="0" fontId="29" fillId="0" borderId="0" xfId="0" applyFont="1" applyBorder="1" applyAlignment="1">
      <alignment horizontal="justify" vertical="top" wrapText="1"/>
    </xf>
    <xf numFmtId="0" fontId="23" fillId="0" borderId="0" xfId="58" applyFont="1" applyBorder="1" applyAlignment="1">
      <alignment horizontal="left"/>
      <protection/>
    </xf>
    <xf numFmtId="0" fontId="14" fillId="0" borderId="0" xfId="58" applyFont="1" applyBorder="1" applyAlignment="1" quotePrefix="1">
      <alignment horizontal="left"/>
      <protection/>
    </xf>
    <xf numFmtId="182" fontId="14" fillId="0" borderId="0" xfId="42" applyNumberFormat="1" applyFont="1" applyBorder="1" applyAlignment="1">
      <alignment horizontal="center"/>
    </xf>
    <xf numFmtId="0" fontId="22" fillId="0" borderId="0" xfId="58" applyFont="1" applyBorder="1" applyAlignment="1" quotePrefix="1">
      <alignment horizontal="left"/>
      <protection/>
    </xf>
    <xf numFmtId="180" fontId="22" fillId="0" borderId="0" xfId="58" applyNumberFormat="1" applyFont="1" applyBorder="1" applyAlignment="1">
      <alignment horizontal="center"/>
      <protection/>
    </xf>
    <xf numFmtId="0" fontId="39" fillId="0" borderId="0" xfId="59" applyFont="1">
      <alignment/>
      <protection/>
    </xf>
    <xf numFmtId="0" fontId="4" fillId="0" borderId="0" xfId="59" applyFont="1">
      <alignment/>
      <protection/>
    </xf>
    <xf numFmtId="0" fontId="39" fillId="9" borderId="26" xfId="59" applyFont="1" applyFill="1" applyBorder="1">
      <alignment/>
      <protection/>
    </xf>
    <xf numFmtId="0" fontId="39" fillId="9" borderId="26" xfId="59" applyFont="1" applyFill="1" applyBorder="1" applyAlignment="1">
      <alignment horizontal="right"/>
      <protection/>
    </xf>
    <xf numFmtId="0" fontId="39" fillId="0" borderId="26" xfId="59" applyFont="1" applyBorder="1">
      <alignment/>
      <protection/>
    </xf>
    <xf numFmtId="3" fontId="4" fillId="0" borderId="26" xfId="59" applyNumberFormat="1" applyFont="1" applyBorder="1" applyAlignment="1">
      <alignment horizontal="right"/>
      <protection/>
    </xf>
    <xf numFmtId="0" fontId="39" fillId="0" borderId="42" xfId="59" applyFont="1" applyBorder="1">
      <alignment/>
      <protection/>
    </xf>
    <xf numFmtId="3" fontId="4" fillId="0" borderId="42" xfId="59" applyNumberFormat="1" applyFont="1" applyBorder="1" applyAlignment="1">
      <alignment horizontal="right"/>
      <protection/>
    </xf>
    <xf numFmtId="0" fontId="4" fillId="0" borderId="0" xfId="59" applyFont="1" applyBorder="1">
      <alignment/>
      <protection/>
    </xf>
    <xf numFmtId="0" fontId="39" fillId="0" borderId="0" xfId="59" applyFont="1" applyBorder="1">
      <alignment/>
      <protection/>
    </xf>
    <xf numFmtId="3" fontId="4" fillId="0" borderId="0" xfId="59" applyNumberFormat="1" applyFont="1" applyBorder="1" applyAlignment="1">
      <alignment horizontal="right"/>
      <protection/>
    </xf>
    <xf numFmtId="3" fontId="4" fillId="0" borderId="0" xfId="59" applyNumberFormat="1" applyFont="1" applyBorder="1">
      <alignment/>
      <protection/>
    </xf>
    <xf numFmtId="3" fontId="39" fillId="0" borderId="0" xfId="59" applyNumberFormat="1" applyFont="1" applyBorder="1" applyAlignment="1">
      <alignment horizontal="right"/>
      <protection/>
    </xf>
    <xf numFmtId="3" fontId="39" fillId="0" borderId="0" xfId="59" applyNumberFormat="1" applyFont="1" applyBorder="1">
      <alignment/>
      <protection/>
    </xf>
    <xf numFmtId="0" fontId="39" fillId="0" borderId="43" xfId="59" applyFont="1" applyBorder="1">
      <alignment/>
      <protection/>
    </xf>
    <xf numFmtId="3" fontId="4" fillId="0" borderId="43" xfId="59" applyNumberFormat="1" applyFont="1" applyBorder="1">
      <alignment/>
      <protection/>
    </xf>
    <xf numFmtId="3" fontId="4" fillId="0" borderId="43" xfId="59" applyNumberFormat="1" applyFont="1" applyBorder="1" applyAlignment="1">
      <alignment horizontal="right"/>
      <protection/>
    </xf>
    <xf numFmtId="3" fontId="39" fillId="9" borderId="26" xfId="59" applyNumberFormat="1" applyFont="1" applyFill="1" applyBorder="1" applyAlignment="1">
      <alignment horizontal="right"/>
      <protection/>
    </xf>
    <xf numFmtId="4" fontId="39" fillId="0" borderId="0" xfId="59" applyNumberFormat="1" applyFont="1" applyFill="1" applyBorder="1" applyAlignment="1">
      <alignment horizontal="right"/>
      <protection/>
    </xf>
    <xf numFmtId="0" fontId="39" fillId="9" borderId="0" xfId="59" applyFont="1" applyFill="1" applyBorder="1">
      <alignment/>
      <protection/>
    </xf>
    <xf numFmtId="1" fontId="4" fillId="9" borderId="0" xfId="59" applyNumberFormat="1" applyFont="1" applyFill="1" applyBorder="1" applyAlignment="1">
      <alignment horizontal="right"/>
      <protection/>
    </xf>
    <xf numFmtId="3" fontId="4" fillId="9" borderId="0" xfId="59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44" xfId="0" applyFont="1" applyBorder="1" applyAlignment="1" quotePrefix="1">
      <alignment horizontal="left"/>
    </xf>
    <xf numFmtId="180" fontId="41" fillId="0" borderId="44" xfId="0" applyNumberFormat="1" applyFont="1" applyBorder="1" applyAlignment="1">
      <alignment/>
    </xf>
    <xf numFmtId="180" fontId="41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4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13" xfId="0" applyFont="1" applyBorder="1" applyAlignment="1">
      <alignment/>
    </xf>
    <xf numFmtId="0" fontId="39" fillId="0" borderId="44" xfId="0" applyFont="1" applyBorder="1" applyAlignment="1">
      <alignment/>
    </xf>
    <xf numFmtId="180" fontId="43" fillId="0" borderId="44" xfId="0" applyNumberFormat="1" applyFont="1" applyBorder="1" applyAlignment="1">
      <alignment/>
    </xf>
    <xf numFmtId="180" fontId="43" fillId="0" borderId="11" xfId="0" applyNumberFormat="1" applyFont="1" applyBorder="1" applyAlignment="1">
      <alignment/>
    </xf>
    <xf numFmtId="0" fontId="39" fillId="0" borderId="13" xfId="0" applyFont="1" applyBorder="1" applyAlignment="1" quotePrefix="1">
      <alignment horizontal="left"/>
    </xf>
    <xf numFmtId="0" fontId="39" fillId="0" borderId="44" xfId="0" applyFont="1" applyBorder="1" applyAlignment="1" quotePrefix="1">
      <alignment horizontal="left"/>
    </xf>
    <xf numFmtId="0" fontId="39" fillId="0" borderId="15" xfId="0" applyFont="1" applyBorder="1" applyAlignment="1" quotePrefix="1">
      <alignment horizontal="left"/>
    </xf>
    <xf numFmtId="180" fontId="43" fillId="0" borderId="0" xfId="0" applyNumberFormat="1" applyFont="1" applyBorder="1" applyAlignment="1">
      <alignment/>
    </xf>
    <xf numFmtId="180" fontId="43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" fontId="43" fillId="0" borderId="44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180" fontId="41" fillId="0" borderId="21" xfId="0" applyNumberFormat="1" applyFont="1" applyBorder="1" applyAlignment="1">
      <alignment/>
    </xf>
    <xf numFmtId="180" fontId="41" fillId="0" borderId="19" xfId="0" applyNumberFormat="1" applyFont="1" applyBorder="1" applyAlignment="1">
      <alignment/>
    </xf>
    <xf numFmtId="9" fontId="16" fillId="0" borderId="0" xfId="63" applyFont="1" applyBorder="1" applyAlignment="1">
      <alignment/>
    </xf>
    <xf numFmtId="3" fontId="16" fillId="10" borderId="0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21" xfId="0" applyFont="1" applyBorder="1" applyAlignment="1">
      <alignment horizontal="centerContinuous"/>
    </xf>
    <xf numFmtId="0" fontId="14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3" fontId="14" fillId="0" borderId="0" xfId="0" applyNumberFormat="1" applyFont="1" applyBorder="1" applyAlignment="1">
      <alignment/>
    </xf>
    <xf numFmtId="3" fontId="14" fillId="18" borderId="0" xfId="0" applyNumberFormat="1" applyFont="1" applyFill="1" applyBorder="1" applyAlignment="1">
      <alignment/>
    </xf>
    <xf numFmtId="0" fontId="4" fillId="18" borderId="0" xfId="0" applyFont="1" applyFill="1" applyBorder="1" applyAlignment="1">
      <alignment/>
    </xf>
    <xf numFmtId="181" fontId="4" fillId="18" borderId="0" xfId="63" applyNumberFormat="1" applyFont="1" applyFill="1" applyBorder="1" applyAlignment="1">
      <alignment/>
    </xf>
    <xf numFmtId="0" fontId="4" fillId="18" borderId="0" xfId="0" applyFont="1" applyFill="1" applyBorder="1" applyAlignment="1">
      <alignment/>
    </xf>
    <xf numFmtId="181" fontId="14" fillId="0" borderId="0" xfId="63" applyNumberFormat="1" applyFont="1" applyBorder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0" fontId="4" fillId="0" borderId="13" xfId="0" applyNumberFormat="1" applyFont="1" applyBorder="1" applyAlignment="1">
      <alignment/>
    </xf>
    <xf numFmtId="181" fontId="42" fillId="0" borderId="12" xfId="63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181" fontId="43" fillId="0" borderId="18" xfId="63" applyNumberFormat="1" applyFont="1" applyBorder="1" applyAlignment="1">
      <alignment/>
    </xf>
    <xf numFmtId="4" fontId="43" fillId="0" borderId="2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181" fontId="43" fillId="0" borderId="16" xfId="63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181" fontId="42" fillId="0" borderId="20" xfId="63" applyNumberFormat="1" applyFont="1" applyBorder="1" applyAlignment="1">
      <alignment/>
    </xf>
    <xf numFmtId="3" fontId="14" fillId="0" borderId="0" xfId="57" applyNumberFormat="1" applyFont="1" applyBorder="1">
      <alignment/>
      <protection/>
    </xf>
    <xf numFmtId="3" fontId="16" fillId="5" borderId="0" xfId="57" applyNumberFormat="1" applyFont="1" applyFill="1" applyBorder="1">
      <alignment/>
      <protection/>
    </xf>
    <xf numFmtId="181" fontId="18" fillId="0" borderId="0" xfId="64" applyNumberFormat="1" applyFont="1" applyBorder="1" applyAlignment="1">
      <alignment/>
    </xf>
    <xf numFmtId="181" fontId="18" fillId="5" borderId="0" xfId="64" applyNumberFormat="1" applyFont="1" applyFill="1" applyBorder="1" applyAlignment="1">
      <alignment/>
    </xf>
    <xf numFmtId="3" fontId="16" fillId="0" borderId="0" xfId="57" applyNumberFormat="1" applyFont="1" applyBorder="1">
      <alignment/>
      <protection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9" fontId="4" fillId="0" borderId="0" xfId="63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gCafé" xfId="58"/>
    <cellStyle name="Normal_agri_table" xfId="59"/>
    <cellStyle name="Normal_InIMF" xfId="60"/>
    <cellStyle name="Note" xfId="61"/>
    <cellStyle name="Output" xfId="62"/>
    <cellStyle name="Percent" xfId="63"/>
    <cellStyle name="Percent 2" xfId="64"/>
    <cellStyle name="Richard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3"/>
          <c:y val="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"/>
          <c:y val="0.1085"/>
          <c:w val="0.91075"/>
          <c:h val="0.836"/>
        </c:manualLayout>
      </c:layout>
      <c:lineChart>
        <c:grouping val="stacked"/>
        <c:varyColors val="0"/>
        <c:ser>
          <c:idx val="0"/>
          <c:order val="0"/>
          <c:tx>
            <c:v>Green Leaf production trends since 1996 to 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'43'!$B$30:$N$30</c:f>
              <c:numCache/>
            </c:numRef>
          </c:cat>
          <c:val>
            <c:numRef>
              <c:f>'43'!$B$31:$N$31</c:f>
              <c:numCache/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in Kg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964"/>
          <c:w val="0.20175"/>
          <c:h val="0.0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41</xdr:row>
      <xdr:rowOff>95250</xdr:rowOff>
    </xdr:from>
    <xdr:to>
      <xdr:col>10</xdr:col>
      <xdr:colOff>533400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76250" y="6877050"/>
        <a:ext cx="88201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te-3\IMF\GDPsurvey\Agriculture\AgCropQ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te-3\c\GDPpub01\GDPsurvey\Agriculture\AgCropQ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-95"/>
      <sheetName val="90"/>
      <sheetName val="97"/>
      <sheetName val="98"/>
      <sheetName val="99"/>
      <sheetName val="00"/>
      <sheetName val="01"/>
      <sheetName val="02"/>
      <sheetName val="Tot"/>
      <sheetName val="Meyer"/>
      <sheetName val="Sheet5"/>
      <sheetName val="Sheet4"/>
      <sheetName val="Sheet3"/>
      <sheetName val="Sheet2"/>
    </sheetNames>
    <sheetDataSet>
      <sheetData sheetId="9">
        <row r="203">
          <cell r="D203">
            <v>1</v>
          </cell>
        </row>
        <row r="292">
          <cell r="B292">
            <v>2572.362871108159</v>
          </cell>
        </row>
        <row r="293">
          <cell r="B293">
            <v>2810.34770206494</v>
          </cell>
        </row>
        <row r="294">
          <cell r="B294">
            <v>3296.501095891891</v>
          </cell>
        </row>
        <row r="295">
          <cell r="B295">
            <v>3662.4359814217332</v>
          </cell>
        </row>
        <row r="296">
          <cell r="B296">
            <v>2563.6151469128367</v>
          </cell>
        </row>
        <row r="297">
          <cell r="B297">
            <v>4337.798596992317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-95"/>
      <sheetName val="90"/>
      <sheetName val="97"/>
      <sheetName val="98"/>
      <sheetName val="99"/>
      <sheetName val="00"/>
      <sheetName val="01"/>
      <sheetName val="02"/>
      <sheetName val="Tot"/>
      <sheetName val="Meyer"/>
      <sheetName val="Sheet5"/>
      <sheetName val="Sheet4"/>
      <sheetName val="Sheet3"/>
      <sheetName val="Sheet2"/>
    </sheetNames>
    <sheetDataSet>
      <sheetData sheetId="9">
        <row r="203">
          <cell r="D203">
            <v>1</v>
          </cell>
        </row>
        <row r="292">
          <cell r="B292">
            <v>2572.362871108159</v>
          </cell>
        </row>
        <row r="293">
          <cell r="B293">
            <v>2810.34770206494</v>
          </cell>
        </row>
        <row r="294">
          <cell r="B294">
            <v>3296.501095891891</v>
          </cell>
        </row>
        <row r="295">
          <cell r="B295">
            <v>3662.4359814217332</v>
          </cell>
        </row>
        <row r="296">
          <cell r="B296">
            <v>2563.6151469128367</v>
          </cell>
        </row>
        <row r="297">
          <cell r="B297">
            <v>4337.798596992317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PageLayoutView="0" workbookViewId="0" topLeftCell="A34">
      <pane xSplit="2" topLeftCell="C1" activePane="topRight" state="frozen"/>
      <selection pane="topLeft" activeCell="A1" sqref="A1"/>
      <selection pane="topRight" activeCell="J49" sqref="J49:O49"/>
    </sheetView>
  </sheetViews>
  <sheetFormatPr defaultColWidth="8.88671875" defaultRowHeight="15"/>
  <cols>
    <col min="1" max="1" width="2.88671875" style="0" customWidth="1"/>
    <col min="2" max="2" width="16.5546875" style="0" customWidth="1"/>
    <col min="3" max="3" width="7.88671875" style="0" bestFit="1" customWidth="1"/>
    <col min="4" max="4" width="8.10546875" style="0" bestFit="1" customWidth="1"/>
    <col min="5" max="5" width="7.88671875" style="0" bestFit="1" customWidth="1"/>
    <col min="6" max="17" width="7.21484375" style="0" bestFit="1" customWidth="1"/>
  </cols>
  <sheetData>
    <row r="1" spans="1:17" ht="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5">
      <c r="A2" s="157"/>
      <c r="B2" s="157" t="s">
        <v>98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thickBot="1">
      <c r="A3" s="157"/>
      <c r="B3" s="127" t="s">
        <v>190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6.5" thickBot="1" thickTop="1">
      <c r="A4" s="157"/>
      <c r="B4" s="127"/>
      <c r="C4" s="199">
        <v>1998</v>
      </c>
      <c r="D4" s="199">
        <f>C4+1</f>
        <v>1999</v>
      </c>
      <c r="E4" s="199">
        <f aca="true" t="shared" si="0" ref="E4:M4">D4+1</f>
        <v>2000</v>
      </c>
      <c r="F4" s="199">
        <f t="shared" si="0"/>
        <v>2001</v>
      </c>
      <c r="G4" s="199">
        <f t="shared" si="0"/>
        <v>2002</v>
      </c>
      <c r="H4" s="199">
        <f t="shared" si="0"/>
        <v>2003</v>
      </c>
      <c r="I4" s="199">
        <f t="shared" si="0"/>
        <v>2004</v>
      </c>
      <c r="J4" s="199">
        <f t="shared" si="0"/>
        <v>2005</v>
      </c>
      <c r="K4" s="199">
        <f t="shared" si="0"/>
        <v>2006</v>
      </c>
      <c r="L4" s="199">
        <f t="shared" si="0"/>
        <v>2007</v>
      </c>
      <c r="M4" s="199">
        <f t="shared" si="0"/>
        <v>2008</v>
      </c>
      <c r="N4" s="199">
        <f>M4+1</f>
        <v>2009</v>
      </c>
      <c r="O4" s="199">
        <f>N4+1</f>
        <v>2010</v>
      </c>
      <c r="P4" s="199">
        <f>O4+1</f>
        <v>2011</v>
      </c>
      <c r="Q4" s="199">
        <f>P4+1</f>
        <v>2012</v>
      </c>
    </row>
    <row r="5" spans="1:17" s="307" customFormat="1" ht="15.7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s="307" customFormat="1" ht="15">
      <c r="A6" s="157"/>
      <c r="B6" s="157" t="s">
        <v>17</v>
      </c>
      <c r="C6" s="198"/>
      <c r="D6" s="198"/>
      <c r="E6" s="198"/>
      <c r="F6" s="198"/>
      <c r="G6" s="198"/>
      <c r="H6" s="198"/>
      <c r="I6" s="198"/>
      <c r="J6" s="198">
        <f>'2005'!$O6/1000</f>
        <v>1910.2</v>
      </c>
      <c r="K6" s="204">
        <f>SUMIF('Summary CY'!$26:$26,K$4,'Summary CY'!6:6)</f>
        <v>1791.3180000000002</v>
      </c>
      <c r="L6" s="204">
        <f>SUMIF('Summary CY'!$26:$26,L$4,'Summary CY'!6:6)</f>
        <v>2080.927</v>
      </c>
      <c r="M6" s="204">
        <f>SUMIF('Summary CY'!$26:$26,M$4,'Summary CY'!6:6)</f>
        <v>2312.169</v>
      </c>
      <c r="N6" s="204">
        <f>SUMIF('Summary CY'!$26:$26,N$4,'Summary CY'!6:6)</f>
        <v>1903.2649999999999</v>
      </c>
      <c r="O6" s="204">
        <f>SUMIF('Summary CY'!$26:$26,O$4,'Summary CY'!6:6)</f>
        <v>2043.2889999999998</v>
      </c>
      <c r="P6" s="204" t="e">
        <f>SUMIF('Summary CY'!$26:$26,P$4,'Summary CY'!6:6)</f>
        <v>#N/A</v>
      </c>
      <c r="Q6" s="204">
        <f>SUMIF('Summary CY'!$26:$26,Q$4,'Summary CY'!6:6)</f>
        <v>0</v>
      </c>
    </row>
    <row r="7" spans="1:17" s="307" customFormat="1" ht="15">
      <c r="A7" s="157"/>
      <c r="B7" s="157" t="s">
        <v>18</v>
      </c>
      <c r="C7" s="198"/>
      <c r="D7" s="198"/>
      <c r="E7" s="198"/>
      <c r="F7" s="198"/>
      <c r="G7" s="198"/>
      <c r="H7" s="198"/>
      <c r="I7" s="198"/>
      <c r="J7" s="198">
        <f>'2005'!$O7/1000</f>
        <v>1240.311</v>
      </c>
      <c r="K7" s="204">
        <f>SUMIF('Summary CY'!$26:$26,K$4,'Summary CY'!7:7)</f>
        <v>1219.1290000000001</v>
      </c>
      <c r="L7" s="204">
        <f>SUMIF('Summary CY'!$26:$26,L$4,'Summary CY'!7:7)</f>
        <v>1716.494</v>
      </c>
      <c r="M7" s="204">
        <f>SUMIF('Summary CY'!$26:$26,M$4,'Summary CY'!7:7)</f>
        <v>1791</v>
      </c>
      <c r="N7" s="204">
        <f>SUMIF('Summary CY'!$26:$26,N$4,'Summary CY'!7:7)</f>
        <v>1651.065</v>
      </c>
      <c r="O7" s="204">
        <f>SUMIF('Summary CY'!$26:$26,O$4,'Summary CY'!7:7)</f>
        <v>1957.8299999999997</v>
      </c>
      <c r="P7" s="204" t="e">
        <f>SUMIF('Summary CY'!$26:$26,P$4,'Summary CY'!7:7)</f>
        <v>#N/A</v>
      </c>
      <c r="Q7" s="204">
        <f>SUMIF('Summary CY'!$26:$26,Q$4,'Summary CY'!7:7)</f>
        <v>0</v>
      </c>
    </row>
    <row r="8" spans="1:17" s="307" customFormat="1" ht="15">
      <c r="A8" s="157"/>
      <c r="B8" s="157" t="s">
        <v>19</v>
      </c>
      <c r="C8" s="198"/>
      <c r="D8" s="198"/>
      <c r="E8" s="198"/>
      <c r="F8" s="198"/>
      <c r="G8" s="198"/>
      <c r="H8" s="198"/>
      <c r="I8" s="198"/>
      <c r="J8" s="198">
        <f>'2005'!$O8/1000</f>
        <v>945.472</v>
      </c>
      <c r="K8" s="204">
        <f>SUMIF('Summary CY'!$26:$26,K$4,'Summary CY'!8:8)</f>
        <v>1397.824</v>
      </c>
      <c r="L8" s="204">
        <f>SUMIF('Summary CY'!$26:$26,L$4,'Summary CY'!8:8)</f>
        <v>1760.141</v>
      </c>
      <c r="M8" s="204">
        <f>SUMIF('Summary CY'!$26:$26,M$4,'Summary CY'!8:8)</f>
        <v>1876.534</v>
      </c>
      <c r="N8" s="204">
        <f>SUMIF('Summary CY'!$26:$26,N$4,'Summary CY'!8:8)</f>
        <v>1848.6240000000003</v>
      </c>
      <c r="O8" s="204">
        <f>SUMIF('Summary CY'!$26:$26,O$4,'Summary CY'!8:8)</f>
        <v>2010.9099999999999</v>
      </c>
      <c r="P8" s="204" t="e">
        <f>SUMIF('Summary CY'!$26:$26,P$4,'Summary CY'!8:8)</f>
        <v>#N/A</v>
      </c>
      <c r="Q8" s="204">
        <f>SUMIF('Summary CY'!$26:$26,Q$4,'Summary CY'!8:8)</f>
        <v>0</v>
      </c>
    </row>
    <row r="9" spans="1:17" s="307" customFormat="1" ht="15">
      <c r="A9" s="157"/>
      <c r="B9" s="157" t="s">
        <v>20</v>
      </c>
      <c r="C9" s="198"/>
      <c r="D9" s="198"/>
      <c r="E9" s="198"/>
      <c r="F9" s="198"/>
      <c r="G9" s="198"/>
      <c r="H9" s="198"/>
      <c r="I9" s="198"/>
      <c r="J9" s="198">
        <f>'2005'!$O9/1000</f>
        <v>1144.343</v>
      </c>
      <c r="K9" s="204">
        <f>SUMIF('Summary CY'!$26:$26,K$4,'Summary CY'!9:9)</f>
        <v>1461.0255</v>
      </c>
      <c r="L9" s="204">
        <f>SUMIF('Summary CY'!$26:$26,L$4,'Summary CY'!9:9)</f>
        <v>2105.138</v>
      </c>
      <c r="M9" s="204">
        <f>SUMIF('Summary CY'!$26:$26,M$4,'Summary CY'!9:9)</f>
        <v>1794.3805</v>
      </c>
      <c r="N9" s="204">
        <f>SUMIF('Summary CY'!$26:$26,N$4,'Summary CY'!9:9)</f>
        <v>1488.536</v>
      </c>
      <c r="O9" s="204">
        <f>SUMIF('Summary CY'!$26:$26,O$4,'Summary CY'!9:9)</f>
        <v>1751.2529999999997</v>
      </c>
      <c r="P9" s="204" t="e">
        <f>SUMIF('Summary CY'!$26:$26,P$4,'Summary CY'!9:9)</f>
        <v>#N/A</v>
      </c>
      <c r="Q9" s="204">
        <f>SUMIF('Summary CY'!$26:$26,Q$4,'Summary CY'!9:9)</f>
        <v>0</v>
      </c>
    </row>
    <row r="10" spans="1:17" s="307" customFormat="1" ht="15">
      <c r="A10" s="157"/>
      <c r="B10" s="157" t="s">
        <v>21</v>
      </c>
      <c r="C10" s="198"/>
      <c r="D10" s="198"/>
      <c r="E10" s="198"/>
      <c r="F10" s="198"/>
      <c r="G10" s="198"/>
      <c r="H10" s="198"/>
      <c r="I10" s="198"/>
      <c r="J10" s="198">
        <f>'2005'!$O10/1000</f>
        <v>2618.802</v>
      </c>
      <c r="K10" s="204">
        <f>SUMIF('Summary CY'!$26:$26,K$4,'Summary CY'!10:10)</f>
        <v>2607.202</v>
      </c>
      <c r="L10" s="204">
        <f>SUMIF('Summary CY'!$26:$26,L$4,'Summary CY'!10:10)</f>
        <v>3261.4069999999997</v>
      </c>
      <c r="M10" s="204">
        <f>SUMIF('Summary CY'!$26:$26,M$4,'Summary CY'!10:10)</f>
        <v>3212.5910000000003</v>
      </c>
      <c r="N10" s="204">
        <f>SUMIF('Summary CY'!$26:$26,N$4,'Summary CY'!10:10)</f>
        <v>3399.13</v>
      </c>
      <c r="O10" s="204">
        <f>SUMIF('Summary CY'!$26:$26,O$4,'Summary CY'!10:10)</f>
        <v>3367.076</v>
      </c>
      <c r="P10" s="204" t="e">
        <f>SUMIF('Summary CY'!$26:$26,P$4,'Summary CY'!10:10)</f>
        <v>#N/A</v>
      </c>
      <c r="Q10" s="204">
        <f>SUMIF('Summary CY'!$26:$26,Q$4,'Summary CY'!10:10)</f>
        <v>0</v>
      </c>
    </row>
    <row r="11" spans="1:17" s="307" customFormat="1" ht="15">
      <c r="A11" s="157"/>
      <c r="B11" s="157" t="s">
        <v>22</v>
      </c>
      <c r="C11" s="198"/>
      <c r="D11" s="198"/>
      <c r="E11" s="198"/>
      <c r="F11" s="198"/>
      <c r="G11" s="198"/>
      <c r="H11" s="198"/>
      <c r="I11" s="198"/>
      <c r="J11" s="198">
        <f>'2005'!$O11/1000</f>
        <v>707.961</v>
      </c>
      <c r="K11" s="204">
        <f>SUMIF('Summary CY'!$26:$26,K$4,'Summary CY'!11:11)</f>
        <v>526.819</v>
      </c>
      <c r="L11" s="204">
        <f>SUMIF('Summary CY'!$26:$26,L$4,'Summary CY'!11:11)</f>
        <v>1241.4899999999998</v>
      </c>
      <c r="M11" s="204">
        <f>SUMIF('Summary CY'!$26:$26,M$4,'Summary CY'!11:11)</f>
        <v>1203.289</v>
      </c>
      <c r="N11" s="204">
        <f>SUMIF('Summary CY'!$26:$26,N$4,'Summary CY'!11:11)</f>
        <v>870.715</v>
      </c>
      <c r="O11" s="204">
        <f>SUMIF('Summary CY'!$26:$26,O$4,'Summary CY'!11:11)</f>
        <v>552.71</v>
      </c>
      <c r="P11" s="204" t="e">
        <f>SUMIF('Summary CY'!$26:$26,P$4,'Summary CY'!11:11)</f>
        <v>#N/A</v>
      </c>
      <c r="Q11" s="204">
        <f>SUMIF('Summary CY'!$26:$26,Q$4,'Summary CY'!11:11)</f>
        <v>0</v>
      </c>
    </row>
    <row r="12" spans="1:17" s="307" customFormat="1" ht="15">
      <c r="A12" s="157"/>
      <c r="B12" s="157" t="s">
        <v>23</v>
      </c>
      <c r="C12" s="198"/>
      <c r="D12" s="198"/>
      <c r="E12" s="198"/>
      <c r="F12" s="198"/>
      <c r="G12" s="198"/>
      <c r="H12" s="198"/>
      <c r="I12" s="198"/>
      <c r="J12" s="198">
        <f>'2005'!$O12/1000</f>
        <v>1245.021</v>
      </c>
      <c r="K12" s="204">
        <f>SUMIF('Summary CY'!$26:$26,K$4,'Summary CY'!12:12)</f>
        <v>0</v>
      </c>
      <c r="L12" s="204">
        <f>SUMIF('Summary CY'!$26:$26,L$4,'Summary CY'!12:12)</f>
        <v>1441.065</v>
      </c>
      <c r="M12" s="204">
        <f>SUMIF('Summary CY'!$26:$26,M$4,'Summary CY'!12:12)</f>
        <v>1787.016</v>
      </c>
      <c r="N12" s="204">
        <f>SUMIF('Summary CY'!$26:$26,N$4,'Summary CY'!12:12)</f>
        <v>1929.007</v>
      </c>
      <c r="O12" s="204">
        <f>SUMIF('Summary CY'!$26:$26,O$4,'Summary CY'!12:12)</f>
        <v>2037.187</v>
      </c>
      <c r="P12" s="204" t="e">
        <f>SUMIF('Summary CY'!$26:$26,P$4,'Summary CY'!12:12)</f>
        <v>#N/A</v>
      </c>
      <c r="Q12" s="204">
        <f>SUMIF('Summary CY'!$26:$26,Q$4,'Summary CY'!12:12)</f>
        <v>0</v>
      </c>
    </row>
    <row r="13" spans="1:17" s="307" customFormat="1" ht="15">
      <c r="A13" s="157"/>
      <c r="B13" s="157" t="s">
        <v>24</v>
      </c>
      <c r="C13" s="198"/>
      <c r="D13" s="198"/>
      <c r="E13" s="198"/>
      <c r="F13" s="198"/>
      <c r="G13" s="198"/>
      <c r="H13" s="198"/>
      <c r="I13" s="198"/>
      <c r="J13" s="198">
        <f>'2005'!$O13/1000</f>
        <v>1615.167</v>
      </c>
      <c r="K13" s="204">
        <f>SUMIF('Summary CY'!$26:$26,K$4,'Summary CY'!13:13)</f>
        <v>908.513</v>
      </c>
      <c r="L13" s="204">
        <f>SUMIF('Summary CY'!$26:$26,L$4,'Summary CY'!13:13)</f>
        <v>1209.651</v>
      </c>
      <c r="M13" s="204">
        <f>SUMIF('Summary CY'!$26:$26,M$4,'Summary CY'!13:13)</f>
        <v>1195.532</v>
      </c>
      <c r="N13" s="204">
        <f>SUMIF('Summary CY'!$26:$26,N$4,'Summary CY'!13:13)</f>
        <v>1929.826</v>
      </c>
      <c r="O13" s="204">
        <f>SUMIF('Summary CY'!$26:$26,O$4,'Summary CY'!13:13)</f>
        <v>2656.4359999999997</v>
      </c>
      <c r="P13" s="204" t="e">
        <f>SUMIF('Summary CY'!$26:$26,P$4,'Summary CY'!13:13)</f>
        <v>#N/A</v>
      </c>
      <c r="Q13" s="204">
        <f>SUMIF('Summary CY'!$26:$26,Q$4,'Summary CY'!13:13)</f>
        <v>0</v>
      </c>
    </row>
    <row r="14" spans="1:17" s="307" customFormat="1" ht="15">
      <c r="A14" s="157"/>
      <c r="B14" s="157" t="s">
        <v>25</v>
      </c>
      <c r="C14" s="198"/>
      <c r="D14" s="198"/>
      <c r="E14" s="198"/>
      <c r="F14" s="198"/>
      <c r="G14" s="198"/>
      <c r="H14" s="198"/>
      <c r="I14" s="198"/>
      <c r="J14" s="198">
        <f>'2005'!$O14/1000</f>
        <v>2009.744</v>
      </c>
      <c r="K14" s="204">
        <f>SUMIF('Summary CY'!$26:$26,K$4,'Summary CY'!14:14)</f>
        <v>2015.205</v>
      </c>
      <c r="L14" s="204">
        <f>SUMIF('Summary CY'!$26:$26,L$4,'Summary CY'!14:14)</f>
        <v>2000.5759999999996</v>
      </c>
      <c r="M14" s="204">
        <f>SUMIF('Summary CY'!$26:$26,M$4,'Summary CY'!14:14)</f>
        <v>1453.589</v>
      </c>
      <c r="N14" s="204">
        <f>SUMIF('Summary CY'!$26:$26,N$4,'Summary CY'!14:14)</f>
        <v>1747.3395499999997</v>
      </c>
      <c r="O14" s="204">
        <f>SUMIF('Summary CY'!$26:$26,O$4,'Summary CY'!14:14)</f>
        <v>2018.105</v>
      </c>
      <c r="P14" s="204" t="e">
        <f>SUMIF('Summary CY'!$26:$26,P$4,'Summary CY'!14:14)</f>
        <v>#N/A</v>
      </c>
      <c r="Q14" s="204">
        <f>SUMIF('Summary CY'!$26:$26,Q$4,'Summary CY'!14:14)</f>
        <v>0</v>
      </c>
    </row>
    <row r="15" spans="1:253" s="316" customFormat="1" ht="15">
      <c r="A15" s="200"/>
      <c r="B15" s="310" t="s">
        <v>26</v>
      </c>
      <c r="C15" s="198"/>
      <c r="D15" s="198"/>
      <c r="E15" s="198"/>
      <c r="F15" s="198"/>
      <c r="G15" s="198"/>
      <c r="H15" s="198"/>
      <c r="I15" s="198"/>
      <c r="J15" s="198">
        <f>'2005'!$O15/1000</f>
        <v>13437.021</v>
      </c>
      <c r="K15" s="204">
        <f>SUMIF('Summary CY'!$26:$26,K$4,'Summary CY'!15:15)</f>
        <v>11927.035499999998</v>
      </c>
      <c r="L15" s="204">
        <f>SUMIF('Summary CY'!$26:$26,L$4,'Summary CY'!15:15)</f>
        <v>16816.889000000003</v>
      </c>
      <c r="M15" s="204">
        <f>SUMIF('Summary CY'!$26:$26,M$4,'Summary CY'!15:15)</f>
        <v>16626.1005</v>
      </c>
      <c r="N15" s="204">
        <f>SUMIF('Summary CY'!$26:$26,N$4,'Summary CY'!15:15)</f>
        <v>16767.50755</v>
      </c>
      <c r="O15" s="204">
        <f>SUMIF('Summary CY'!$26:$26,O$4,'Summary CY'!15:15)</f>
        <v>18394.796000000002</v>
      </c>
      <c r="P15" s="204" t="e">
        <f>SUMIF('Summary CY'!$26:$26,P$4,'Summary CY'!15:15)</f>
        <v>#N/A</v>
      </c>
      <c r="Q15" s="204">
        <f>SUMIF('Summary CY'!$26:$26,Q$4,'Summary CY'!15:15)</f>
        <v>0</v>
      </c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7"/>
      <c r="DY15" s="307"/>
      <c r="DZ15" s="307"/>
      <c r="EA15" s="307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7"/>
      <c r="ET15" s="307"/>
      <c r="EU15" s="307"/>
      <c r="EV15" s="307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7"/>
      <c r="FL15" s="307"/>
      <c r="FM15" s="307"/>
      <c r="FN15" s="307"/>
      <c r="FO15" s="307"/>
      <c r="FP15" s="307"/>
      <c r="FQ15" s="307"/>
      <c r="FR15" s="307"/>
      <c r="FS15" s="307"/>
      <c r="FT15" s="307"/>
      <c r="FU15" s="307"/>
      <c r="FV15" s="307"/>
      <c r="FW15" s="307"/>
      <c r="FX15" s="307"/>
      <c r="FY15" s="307"/>
      <c r="FZ15" s="307"/>
      <c r="GA15" s="307"/>
      <c r="GB15" s="307"/>
      <c r="GC15" s="307"/>
      <c r="GD15" s="307"/>
      <c r="GE15" s="307"/>
      <c r="GF15" s="307"/>
      <c r="GG15" s="307"/>
      <c r="GH15" s="307"/>
      <c r="GI15" s="307"/>
      <c r="GJ15" s="307"/>
      <c r="GK15" s="307"/>
      <c r="GL15" s="307"/>
      <c r="GM15" s="307"/>
      <c r="GN15" s="307"/>
      <c r="GO15" s="307"/>
      <c r="GP15" s="307"/>
      <c r="GQ15" s="307"/>
      <c r="GR15" s="307"/>
      <c r="GS15" s="307"/>
      <c r="GT15" s="307"/>
      <c r="GU15" s="307"/>
      <c r="GV15" s="307"/>
      <c r="GW15" s="307"/>
      <c r="GX15" s="307"/>
      <c r="GY15" s="307"/>
      <c r="GZ15" s="307"/>
      <c r="HA15" s="307"/>
      <c r="HB15" s="307"/>
      <c r="HC15" s="307"/>
      <c r="HD15" s="307"/>
      <c r="HE15" s="307"/>
      <c r="HF15" s="307"/>
      <c r="HG15" s="307"/>
      <c r="HH15" s="307"/>
      <c r="HI15" s="307"/>
      <c r="HJ15" s="307"/>
      <c r="HK15" s="307"/>
      <c r="HL15" s="307"/>
      <c r="HM15" s="307"/>
      <c r="HN15" s="307"/>
      <c r="HO15" s="307"/>
      <c r="HP15" s="307"/>
      <c r="HQ15" s="307"/>
      <c r="HR15" s="307"/>
      <c r="HS15" s="307"/>
      <c r="HT15" s="307"/>
      <c r="HU15" s="307"/>
      <c r="HV15" s="307"/>
      <c r="HW15" s="307"/>
      <c r="HX15" s="307"/>
      <c r="HY15" s="307"/>
      <c r="HZ15" s="307"/>
      <c r="IA15" s="307"/>
      <c r="IB15" s="307"/>
      <c r="IC15" s="307"/>
      <c r="ID15" s="307"/>
      <c r="IE15" s="307"/>
      <c r="IF15" s="307"/>
      <c r="IG15" s="307"/>
      <c r="IH15" s="307"/>
      <c r="II15" s="307"/>
      <c r="IJ15" s="307"/>
      <c r="IK15" s="307"/>
      <c r="IL15" s="307"/>
      <c r="IM15" s="307"/>
      <c r="IN15" s="307"/>
      <c r="IO15" s="307"/>
      <c r="IP15" s="307"/>
      <c r="IQ15" s="307"/>
      <c r="IR15" s="307"/>
      <c r="IS15" s="307"/>
    </row>
    <row r="16" spans="1:253" s="316" customFormat="1" ht="15">
      <c r="A16" s="200"/>
      <c r="B16" s="310"/>
      <c r="C16" s="198"/>
      <c r="D16" s="198"/>
      <c r="E16" s="198"/>
      <c r="F16" s="198"/>
      <c r="G16" s="198"/>
      <c r="H16" s="198"/>
      <c r="I16" s="198"/>
      <c r="J16" s="198">
        <f>'2005'!$O16/1000</f>
        <v>0</v>
      </c>
      <c r="K16" s="204">
        <f>SUMIF('Summary CY'!$26:$26,K$4,'Summary CY'!16:16)</f>
        <v>0</v>
      </c>
      <c r="L16" s="204">
        <f>SUMIF('Summary CY'!$26:$26,L$4,'Summary CY'!16:16)</f>
        <v>0</v>
      </c>
      <c r="M16" s="204">
        <f>SUMIF('Summary CY'!$26:$26,M$4,'Summary CY'!16:16)</f>
        <v>0</v>
      </c>
      <c r="N16" s="204">
        <f>SUMIF('Summary CY'!$26:$26,N$4,'Summary CY'!16:16)</f>
        <v>0</v>
      </c>
      <c r="O16" s="204">
        <f>SUMIF('Summary CY'!$26:$26,O$4,'Summary CY'!16:16)</f>
        <v>0</v>
      </c>
      <c r="P16" s="204">
        <f>SUMIF('Summary CY'!$26:$26,P$4,'Summary CY'!16:16)</f>
        <v>0</v>
      </c>
      <c r="Q16" s="204">
        <f>SUMIF('Summary CY'!$26:$26,Q$4,'Summary CY'!16:16)</f>
        <v>0</v>
      </c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  <c r="HR16" s="307"/>
      <c r="HS16" s="307"/>
      <c r="HT16" s="307"/>
      <c r="HU16" s="307"/>
      <c r="HV16" s="307"/>
      <c r="HW16" s="307"/>
      <c r="HX16" s="307"/>
      <c r="HY16" s="307"/>
      <c r="HZ16" s="307"/>
      <c r="IA16" s="307"/>
      <c r="IB16" s="307"/>
      <c r="IC16" s="307"/>
      <c r="ID16" s="307"/>
      <c r="IE16" s="307"/>
      <c r="IF16" s="307"/>
      <c r="IG16" s="307"/>
      <c r="IH16" s="307"/>
      <c r="II16" s="307"/>
      <c r="IJ16" s="307"/>
      <c r="IK16" s="307"/>
      <c r="IL16" s="307"/>
      <c r="IM16" s="307"/>
      <c r="IN16" s="307"/>
      <c r="IO16" s="307"/>
      <c r="IP16" s="307"/>
      <c r="IQ16" s="307"/>
      <c r="IR16" s="307"/>
      <c r="IS16" s="307"/>
    </row>
    <row r="17" spans="1:17" s="307" customFormat="1" ht="15">
      <c r="A17" s="157"/>
      <c r="B17" s="157" t="s">
        <v>27</v>
      </c>
      <c r="C17" s="198"/>
      <c r="D17" s="198"/>
      <c r="E17" s="198"/>
      <c r="F17" s="198"/>
      <c r="G17" s="198"/>
      <c r="H17" s="198"/>
      <c r="I17" s="198"/>
      <c r="J17" s="198">
        <f>'2005'!$O17/1000</f>
        <v>3020.617</v>
      </c>
      <c r="K17" s="204">
        <f>SUMIF('Summary CY'!$26:$26,K$4,'Summary CY'!17:17)</f>
        <v>5045.585</v>
      </c>
      <c r="L17" s="204">
        <f>SUMIF('Summary CY'!$26:$26,L$4,'Summary CY'!17:17)</f>
        <v>3661.619</v>
      </c>
      <c r="M17" s="204">
        <f>SUMIF('Summary CY'!$26:$26,M$4,'Summary CY'!17:17)</f>
        <v>2923.2999999999997</v>
      </c>
      <c r="N17" s="204">
        <f>SUMIF('Summary CY'!$26:$26,N$4,'Summary CY'!17:17)</f>
        <v>3767.611</v>
      </c>
      <c r="O17" s="204">
        <f>SUMIF('Summary CY'!$26:$26,O$4,'Summary CY'!17:17)</f>
        <v>3854.0799999999995</v>
      </c>
      <c r="P17" s="204" t="e">
        <f>SUMIF('Summary CY'!$26:$26,P$4,'Summary CY'!17:17)</f>
        <v>#N/A</v>
      </c>
      <c r="Q17" s="204">
        <f>SUMIF('Summary CY'!$26:$26,Q$4,'Summary CY'!17:17)</f>
        <v>0</v>
      </c>
    </row>
    <row r="18" spans="1:17" s="307" customFormat="1" ht="15">
      <c r="A18" s="157"/>
      <c r="B18" s="157" t="s">
        <v>189</v>
      </c>
      <c r="C18" s="198"/>
      <c r="D18" s="198"/>
      <c r="E18" s="198"/>
      <c r="F18" s="198"/>
      <c r="G18" s="198"/>
      <c r="H18" s="198"/>
      <c r="I18" s="198"/>
      <c r="J18" s="198">
        <f>'2005'!$O18/1000</f>
        <v>0</v>
      </c>
      <c r="K18" s="204">
        <f>SUMIF('Summary CY'!$26:$26,K$4,'Summary CY'!18:18)</f>
        <v>0</v>
      </c>
      <c r="L18" s="204">
        <f>SUMIF('Summary CY'!$26:$26,L$4,'Summary CY'!18:18)</f>
        <v>0</v>
      </c>
      <c r="M18" s="204">
        <f>SUMIF('Summary CY'!$26:$26,M$4,'Summary CY'!18:18)</f>
        <v>415.793</v>
      </c>
      <c r="N18" s="204">
        <f>SUMIF('Summary CY'!$26:$26,N$4,'Summary CY'!18:18)</f>
        <v>0</v>
      </c>
      <c r="O18" s="204">
        <f>SUMIF('Summary CY'!$26:$26,O$4,'Summary CY'!18:18)</f>
        <v>0</v>
      </c>
      <c r="P18" s="204" t="e">
        <f>SUMIF('Summary CY'!$26:$26,P$4,'Summary CY'!18:18)</f>
        <v>#N/A</v>
      </c>
      <c r="Q18" s="204">
        <f>SUMIF('Summary CY'!$26:$26,Q$4,'Summary CY'!18:18)</f>
        <v>0</v>
      </c>
    </row>
    <row r="19" spans="1:17" s="307" customFormat="1" ht="15">
      <c r="A19" s="157"/>
      <c r="B19" s="196" t="s">
        <v>28</v>
      </c>
      <c r="C19" s="198"/>
      <c r="D19" s="198"/>
      <c r="E19" s="198"/>
      <c r="F19" s="198"/>
      <c r="G19" s="198"/>
      <c r="H19" s="198"/>
      <c r="I19" s="198"/>
      <c r="J19" s="198">
        <f>'2005'!$O19/1000</f>
        <v>16457.638</v>
      </c>
      <c r="K19" s="204">
        <f>SUMIF('Summary CY'!$26:$26,K$4,'Summary CY'!19:19)</f>
        <v>16972.6205</v>
      </c>
      <c r="L19" s="204">
        <f>SUMIF('Summary CY'!$26:$26,L$4,'Summary CY'!19:19)</f>
        <v>20478.508</v>
      </c>
      <c r="M19" s="204">
        <f>SUMIF('Summary CY'!$26:$26,M$4,'Summary CY'!19:19)</f>
        <v>19965.1935</v>
      </c>
      <c r="N19" s="204">
        <f>SUMIF('Summary CY'!$26:$26,N$4,'Summary CY'!19:19)</f>
        <v>20333.230568963903</v>
      </c>
      <c r="O19" s="204">
        <f>SUMIF('Summary CY'!$26:$26,O$4,'Summary CY'!19:19)</f>
        <v>22248.876</v>
      </c>
      <c r="P19" s="204" t="e">
        <f>SUMIF('Summary CY'!$26:$26,P$4,'Summary CY'!19:19)</f>
        <v>#N/A</v>
      </c>
      <c r="Q19" s="204">
        <f>SUMIF('Summary CY'!$26:$26,Q$4,'Summary CY'!19:19)</f>
        <v>0</v>
      </c>
    </row>
    <row r="20" spans="1:19" s="307" customFormat="1" ht="15">
      <c r="A20" s="157"/>
      <c r="B20" s="198"/>
      <c r="C20" s="198"/>
      <c r="D20" s="198"/>
      <c r="E20" s="198"/>
      <c r="F20" s="198"/>
      <c r="G20" s="198"/>
      <c r="H20" s="198"/>
      <c r="I20" s="198"/>
      <c r="J20" s="417">
        <f>J19/J49</f>
        <v>0.23214582915482573</v>
      </c>
      <c r="K20" s="417">
        <f>K19/K49</f>
        <v>0.23247534912454224</v>
      </c>
      <c r="L20" s="417">
        <f>L19/L49</f>
        <v>0.23294466051029156</v>
      </c>
      <c r="M20" s="417">
        <f>M19/M49</f>
        <v>0.23297047002763308</v>
      </c>
      <c r="N20" s="417">
        <f>N19/N49</f>
        <v>0.23323104458878857</v>
      </c>
      <c r="O20" s="417">
        <f>O19/O49</f>
        <v>0.23614808224112688</v>
      </c>
      <c r="P20" s="198"/>
      <c r="Q20" s="198"/>
      <c r="R20" s="198"/>
      <c r="S20" s="198"/>
    </row>
    <row r="21" spans="1:17" s="307" customFormat="1" ht="15.7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15.75" thickTop="1">
      <c r="A22" s="157"/>
      <c r="B22" s="201">
        <f ca="1">NOW()</f>
        <v>40948.65149502315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15">
      <c r="A23" s="202" t="s">
        <v>30</v>
      </c>
      <c r="B23" s="203" t="s">
        <v>97</v>
      </c>
      <c r="C23" s="204">
        <f aca="true" t="shared" si="1" ref="C23:M23">SUM(C6:C14)+C17-C19</f>
        <v>0</v>
      </c>
      <c r="D23" s="204">
        <f t="shared" si="1"/>
        <v>0</v>
      </c>
      <c r="E23" s="204">
        <f t="shared" si="1"/>
        <v>0</v>
      </c>
      <c r="F23" s="204">
        <f t="shared" si="1"/>
        <v>0</v>
      </c>
      <c r="G23" s="204">
        <f t="shared" si="1"/>
        <v>0</v>
      </c>
      <c r="H23" s="204">
        <f t="shared" si="1"/>
        <v>0</v>
      </c>
      <c r="I23" s="204">
        <f t="shared" si="1"/>
        <v>0</v>
      </c>
      <c r="J23" s="204">
        <f t="shared" si="1"/>
        <v>0</v>
      </c>
      <c r="K23" s="204">
        <f t="shared" si="1"/>
        <v>0</v>
      </c>
      <c r="L23" s="204">
        <f t="shared" si="1"/>
        <v>0</v>
      </c>
      <c r="M23" s="204">
        <f t="shared" si="1"/>
        <v>-415.7930000000015</v>
      </c>
      <c r="N23" s="204">
        <f>SUM(N6:N14)+N17-N19</f>
        <v>201.88798103609588</v>
      </c>
      <c r="O23" s="204">
        <f>SUM(O6:O14)+O17-O19</f>
        <v>0</v>
      </c>
      <c r="P23" s="204" t="e">
        <f>SUM(P6:P14)+P17-P19</f>
        <v>#N/A</v>
      </c>
      <c r="Q23" s="204">
        <f>SUM(Q6:Q14)+Q17-Q19</f>
        <v>0</v>
      </c>
    </row>
    <row r="24" spans="1:1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ht="15">
      <c r="A25" s="157" t="s">
        <v>46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ht="15">
      <c r="A26" s="157"/>
      <c r="B26" s="157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</row>
    <row r="27" spans="1:17" ht="15.75" thickBot="1">
      <c r="A27" s="157"/>
      <c r="B27" s="205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ht="16.5" thickBot="1" thickTop="1">
      <c r="A28" s="157"/>
      <c r="B28" s="127"/>
      <c r="C28" s="199">
        <f>C4</f>
        <v>1998</v>
      </c>
      <c r="D28" s="199">
        <f aca="true" t="shared" si="2" ref="D28:M28">D4</f>
        <v>1999</v>
      </c>
      <c r="E28" s="199">
        <f t="shared" si="2"/>
        <v>2000</v>
      </c>
      <c r="F28" s="199">
        <f t="shared" si="2"/>
        <v>2001</v>
      </c>
      <c r="G28" s="199">
        <f t="shared" si="2"/>
        <v>2002</v>
      </c>
      <c r="H28" s="199">
        <f t="shared" si="2"/>
        <v>2003</v>
      </c>
      <c r="I28" s="199">
        <f t="shared" si="2"/>
        <v>2004</v>
      </c>
      <c r="J28" s="199">
        <f t="shared" si="2"/>
        <v>2005</v>
      </c>
      <c r="K28" s="199">
        <f t="shared" si="2"/>
        <v>2006</v>
      </c>
      <c r="L28" s="199">
        <f t="shared" si="2"/>
        <v>2007</v>
      </c>
      <c r="M28" s="199">
        <f t="shared" si="2"/>
        <v>2008</v>
      </c>
      <c r="N28" s="199">
        <f>N4</f>
        <v>2009</v>
      </c>
      <c r="O28" s="199">
        <f>O4</f>
        <v>2010</v>
      </c>
      <c r="P28" s="199">
        <f>P4</f>
        <v>2011</v>
      </c>
      <c r="Q28" s="199">
        <f>Q4</f>
        <v>2012</v>
      </c>
    </row>
    <row r="29" spans="1:17" s="307" customFormat="1" ht="15.75" thickTop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s="307" customFormat="1" ht="15">
      <c r="A30" s="157">
        <v>30</v>
      </c>
      <c r="B30" s="157" t="s">
        <v>17</v>
      </c>
      <c r="C30" s="198"/>
      <c r="D30" s="198"/>
      <c r="E30" s="198"/>
      <c r="F30" s="198"/>
      <c r="G30" s="198"/>
      <c r="H30" s="198"/>
      <c r="I30" s="198"/>
      <c r="J30" s="198">
        <f>'2005'!$O30/1000</f>
        <v>7802.875</v>
      </c>
      <c r="K30" s="204">
        <f>SUMIF('Summary CY'!$26:$26,K$4,'Summary CY'!30:30)</f>
        <v>8070.486999999999</v>
      </c>
      <c r="L30" s="204">
        <f>SUMIF('Summary CY'!$26:$26,L$4,'Summary CY'!30:30)</f>
        <v>9209.332</v>
      </c>
      <c r="M30" s="204">
        <f>SUMIF('Summary CY'!$26:$26,M$4,'Summary CY'!30:30)</f>
        <v>8563.521</v>
      </c>
      <c r="N30" s="204">
        <f>SUMIF('Summary CY'!$26:$26,N$4,'Summary CY'!30:30)</f>
        <v>8462.004</v>
      </c>
      <c r="O30" s="204">
        <f>SUMIF('Summary CY'!$26:$26,O$4,'Summary CY'!30:30)</f>
        <v>9272.794000000002</v>
      </c>
      <c r="P30" s="204" t="e">
        <f>SUMIF('Summary CY'!$26:$26,P$4,'Summary CY'!30:30)</f>
        <v>#N/A</v>
      </c>
      <c r="Q30" s="204">
        <f>SUMIF('Summary CY'!$26:$26,Q$4,'Summary CY'!30:30)</f>
        <v>0</v>
      </c>
    </row>
    <row r="31" spans="1:17" s="307" customFormat="1" ht="15">
      <c r="A31" s="157">
        <v>31</v>
      </c>
      <c r="B31" s="157" t="s">
        <v>18</v>
      </c>
      <c r="C31" s="198"/>
      <c r="D31" s="198"/>
      <c r="E31" s="198"/>
      <c r="F31" s="198"/>
      <c r="G31" s="198"/>
      <c r="H31" s="198"/>
      <c r="I31" s="198"/>
      <c r="J31" s="198">
        <f>'2005'!$O31/1000</f>
        <v>5302.738</v>
      </c>
      <c r="K31" s="204">
        <f>SUMIF('Summary CY'!$26:$26,K$4,'Summary CY'!31:31)</f>
        <v>5069.642</v>
      </c>
      <c r="L31" s="204">
        <f>SUMIF('Summary CY'!$26:$26,L$4,'Summary CY'!31:31)</f>
        <v>7211.168</v>
      </c>
      <c r="M31" s="204">
        <f>SUMIF('Summary CY'!$26:$26,M$4,'Summary CY'!31:31)</f>
        <v>7462.705999999999</v>
      </c>
      <c r="N31" s="204">
        <f>SUMIF('Summary CY'!$26:$26,N$4,'Summary CY'!31:31)</f>
        <v>6843.851</v>
      </c>
      <c r="O31" s="204">
        <f>SUMIF('Summary CY'!$26:$26,O$4,'Summary CY'!31:31)</f>
        <v>8224.289</v>
      </c>
      <c r="P31" s="204" t="e">
        <f>SUMIF('Summary CY'!$26:$26,P$4,'Summary CY'!31:31)</f>
        <v>#N/A</v>
      </c>
      <c r="Q31" s="204">
        <f>SUMIF('Summary CY'!$26:$26,Q$4,'Summary CY'!31:31)</f>
        <v>0</v>
      </c>
    </row>
    <row r="32" spans="1:17" s="307" customFormat="1" ht="15">
      <c r="A32" s="157">
        <v>32</v>
      </c>
      <c r="B32" s="157" t="s">
        <v>19</v>
      </c>
      <c r="C32" s="198"/>
      <c r="D32" s="198"/>
      <c r="E32" s="198"/>
      <c r="F32" s="198"/>
      <c r="G32" s="198"/>
      <c r="H32" s="198"/>
      <c r="I32" s="198"/>
      <c r="J32" s="198">
        <f>'2005'!$O32/1000</f>
        <v>4968.648</v>
      </c>
      <c r="K32" s="204">
        <f>SUMIF('Summary CY'!$26:$26,K$4,'Summary CY'!32:32)</f>
        <v>5848.124</v>
      </c>
      <c r="L32" s="204">
        <f>SUMIF('Summary CY'!$26:$26,L$4,'Summary CY'!32:32)</f>
        <v>7409.745</v>
      </c>
      <c r="M32" s="204">
        <f>SUMIF('Summary CY'!$26:$26,M$4,'Summary CY'!32:32)</f>
        <v>7451.741</v>
      </c>
      <c r="N32" s="204">
        <f>SUMIF('Summary CY'!$26:$26,N$4,'Summary CY'!32:32)</f>
        <v>7773.46</v>
      </c>
      <c r="O32" s="204">
        <f>SUMIF('Summary CY'!$26:$26,O$4,'Summary CY'!32:32)</f>
        <v>8129.005</v>
      </c>
      <c r="P32" s="204" t="e">
        <f>SUMIF('Summary CY'!$26:$26,P$4,'Summary CY'!32:32)</f>
        <v>#N/A</v>
      </c>
      <c r="Q32" s="204">
        <f>SUMIF('Summary CY'!$26:$26,Q$4,'Summary CY'!32:32)</f>
        <v>0</v>
      </c>
    </row>
    <row r="33" spans="1:17" s="307" customFormat="1" ht="15">
      <c r="A33" s="157">
        <v>33</v>
      </c>
      <c r="B33" s="157" t="s">
        <v>105</v>
      </c>
      <c r="C33" s="198"/>
      <c r="D33" s="198"/>
      <c r="E33" s="198"/>
      <c r="F33" s="198"/>
      <c r="G33" s="198"/>
      <c r="H33" s="198"/>
      <c r="I33" s="198"/>
      <c r="J33" s="198">
        <f>'2005'!$O33/1000</f>
        <v>3093.129</v>
      </c>
      <c r="K33" s="204">
        <f>SUMIF('Summary CY'!$26:$26,K$4,'Summary CY'!33:33)</f>
        <v>4326.502</v>
      </c>
      <c r="L33" s="204">
        <f>SUMIF('Summary CY'!$26:$26,L$4,'Summary CY'!33:33)</f>
        <v>6870.5470000000005</v>
      </c>
      <c r="M33" s="204">
        <f>SUMIF('Summary CY'!$26:$26,M$4,'Summary CY'!33:33)</f>
        <v>7411.8820000000005</v>
      </c>
      <c r="N33" s="204">
        <f>SUMIF('Summary CY'!$26:$26,N$4,'Summary CY'!33:33)</f>
        <v>6536.566000000001</v>
      </c>
      <c r="O33" s="204">
        <f>SUMIF('Summary CY'!$26:$26,O$4,'Summary CY'!33:33)</f>
        <v>7278.130999999999</v>
      </c>
      <c r="P33" s="204" t="e">
        <f>SUMIF('Summary CY'!$26:$26,P$4,'Summary CY'!33:33)</f>
        <v>#N/A</v>
      </c>
      <c r="Q33" s="204">
        <f>SUMIF('Summary CY'!$26:$26,Q$4,'Summary CY'!33:33)</f>
        <v>0</v>
      </c>
    </row>
    <row r="34" spans="1:17" s="307" customFormat="1" ht="15">
      <c r="A34" s="157">
        <v>34</v>
      </c>
      <c r="B34" s="157" t="s">
        <v>112</v>
      </c>
      <c r="C34" s="198"/>
      <c r="D34" s="198"/>
      <c r="E34" s="198"/>
      <c r="F34" s="198"/>
      <c r="G34" s="198"/>
      <c r="H34" s="198"/>
      <c r="I34" s="198"/>
      <c r="J34" s="198">
        <f>'2005'!$O34/1000</f>
        <v>1686.416</v>
      </c>
      <c r="K34" s="204">
        <f>SUMIF('Summary CY'!$26:$26,K$4,'Summary CY'!34:34)</f>
        <v>244.355</v>
      </c>
      <c r="L34" s="204">
        <f>SUMIF('Summary CY'!$26:$26,L$4,'Summary CY'!34:34)</f>
        <v>2668.913</v>
      </c>
      <c r="M34" s="204">
        <f>SUMIF('Summary CY'!$26:$26,M$4,'Summary CY'!34:34)</f>
        <v>0</v>
      </c>
      <c r="N34" s="204">
        <f>SUMIF('Summary CY'!$26:$26,N$4,'Summary CY'!34:34)</f>
        <v>3521.853</v>
      </c>
      <c r="O34" s="204">
        <f>SUMIF('Summary CY'!$26:$26,O$4,'Summary CY'!34:34)</f>
        <v>3966.364</v>
      </c>
      <c r="P34" s="204" t="e">
        <f>SUMIF('Summary CY'!$26:$26,P$4,'Summary CY'!34:34)</f>
        <v>#N/A</v>
      </c>
      <c r="Q34" s="204">
        <f>SUMIF('Summary CY'!$26:$26,Q$4,'Summary CY'!34:34)</f>
        <v>0</v>
      </c>
    </row>
    <row r="35" spans="1:17" s="307" customFormat="1" ht="15">
      <c r="A35" s="157">
        <v>35</v>
      </c>
      <c r="B35" s="157" t="s">
        <v>21</v>
      </c>
      <c r="C35" s="198"/>
      <c r="D35" s="198"/>
      <c r="E35" s="198"/>
      <c r="F35" s="198"/>
      <c r="G35" s="198"/>
      <c r="H35" s="198"/>
      <c r="I35" s="198"/>
      <c r="J35" s="198">
        <f>'2005'!$O35/1000</f>
        <v>11271.253</v>
      </c>
      <c r="K35" s="204">
        <f>SUMIF('Summary CY'!$26:$26,K$4,'Summary CY'!35:35)</f>
        <v>11148.716</v>
      </c>
      <c r="L35" s="204">
        <f>SUMIF('Summary CY'!$26:$26,L$4,'Summary CY'!35:35)</f>
        <v>13904.534</v>
      </c>
      <c r="M35" s="204">
        <f>SUMIF('Summary CY'!$26:$26,M$4,'Summary CY'!35:35)</f>
        <v>13678.308</v>
      </c>
      <c r="N35" s="204">
        <f>SUMIF('Summary CY'!$26:$26,N$4,'Summary CY'!35:35)</f>
        <v>14350.747000000001</v>
      </c>
      <c r="O35" s="204">
        <f>SUMIF('Summary CY'!$26:$26,O$4,'Summary CY'!35:35)</f>
        <v>14383.258000000002</v>
      </c>
      <c r="P35" s="204" t="e">
        <f>SUMIF('Summary CY'!$26:$26,P$4,'Summary CY'!35:35)</f>
        <v>#N/A</v>
      </c>
      <c r="Q35" s="204">
        <f>SUMIF('Summary CY'!$26:$26,Q$4,'Summary CY'!35:35)</f>
        <v>0</v>
      </c>
    </row>
    <row r="36" spans="1:17" s="307" customFormat="1" ht="15">
      <c r="A36" s="157">
        <v>36</v>
      </c>
      <c r="B36" s="157" t="s">
        <v>22</v>
      </c>
      <c r="C36" s="198"/>
      <c r="D36" s="198"/>
      <c r="E36" s="198"/>
      <c r="F36" s="198"/>
      <c r="G36" s="198"/>
      <c r="H36" s="198"/>
      <c r="I36" s="198"/>
      <c r="J36" s="198">
        <f>'2005'!$O36/1000</f>
        <v>3537.257</v>
      </c>
      <c r="K36" s="204">
        <f>SUMIF('Summary CY'!$26:$26,K$4,'Summary CY'!36:36)</f>
        <v>2339.116</v>
      </c>
      <c r="L36" s="204">
        <f>SUMIF('Summary CY'!$26:$26,L$4,'Summary CY'!36:36)</f>
        <v>4538.951999999999</v>
      </c>
      <c r="M36" s="204">
        <f>SUMIF('Summary CY'!$26:$26,M$4,'Summary CY'!36:36)</f>
        <v>0</v>
      </c>
      <c r="N36" s="204">
        <f>SUMIF('Summary CY'!$26:$26,N$4,'Summary CY'!36:36)</f>
        <v>3655.073</v>
      </c>
      <c r="O36" s="204">
        <f>SUMIF('Summary CY'!$26:$26,O$4,'Summary CY'!36:36)</f>
        <v>3941.5440000000003</v>
      </c>
      <c r="P36" s="204" t="e">
        <f>SUMIF('Summary CY'!$26:$26,P$4,'Summary CY'!36:36)</f>
        <v>#N/A</v>
      </c>
      <c r="Q36" s="204">
        <f>SUMIF('Summary CY'!$26:$26,Q$4,'Summary CY'!36:36)</f>
        <v>0</v>
      </c>
    </row>
    <row r="37" spans="1:17" s="307" customFormat="1" ht="15">
      <c r="A37" s="157">
        <v>37</v>
      </c>
      <c r="B37" s="157" t="s">
        <v>24</v>
      </c>
      <c r="C37" s="198"/>
      <c r="D37" s="198"/>
      <c r="E37" s="198"/>
      <c r="F37" s="198"/>
      <c r="G37" s="198"/>
      <c r="H37" s="198"/>
      <c r="I37" s="198"/>
      <c r="J37" s="198">
        <f>'2005'!$O37/1000</f>
        <v>6616.999</v>
      </c>
      <c r="K37" s="204">
        <f>SUMIF('Summary CY'!$26:$26,K$4,'Summary CY'!37:37)</f>
        <v>3974.99</v>
      </c>
      <c r="L37" s="204">
        <f>SUMIF('Summary CY'!$26:$26,L$4,'Summary CY'!37:37)</f>
        <v>5228.341</v>
      </c>
      <c r="M37" s="204">
        <f>SUMIF('Summary CY'!$26:$26,M$4,'Summary CY'!37:37)</f>
        <v>0</v>
      </c>
      <c r="N37" s="204">
        <f>SUMIF('Summary CY'!$26:$26,N$4,'Summary CY'!37:37)</f>
        <v>7583.524</v>
      </c>
      <c r="O37" s="204">
        <f>SUMIF('Summary CY'!$26:$26,O$4,'Summary CY'!37:37)</f>
        <v>9347.824</v>
      </c>
      <c r="P37" s="204" t="e">
        <f>SUMIF('Summary CY'!$26:$26,P$4,'Summary CY'!37:37)</f>
        <v>#N/A</v>
      </c>
      <c r="Q37" s="204">
        <f>SUMIF('Summary CY'!$26:$26,Q$4,'Summary CY'!37:37)</f>
        <v>0</v>
      </c>
    </row>
    <row r="38" spans="1:17" s="307" customFormat="1" ht="15">
      <c r="A38" s="157">
        <v>38</v>
      </c>
      <c r="B38" s="157" t="s">
        <v>23</v>
      </c>
      <c r="C38" s="198"/>
      <c r="D38" s="198"/>
      <c r="E38" s="198"/>
      <c r="F38" s="198"/>
      <c r="G38" s="198"/>
      <c r="H38" s="198"/>
      <c r="I38" s="198"/>
      <c r="J38" s="198">
        <f>'2005'!$O38/1000</f>
        <v>0</v>
      </c>
      <c r="K38" s="204">
        <f>SUMIF('Summary CY'!$26:$26,K$4,'Summary CY'!38:38)</f>
        <v>0</v>
      </c>
      <c r="L38" s="204">
        <f>SUMIF('Summary CY'!$26:$26,L$4,'Summary CY'!38:38)</f>
        <v>0</v>
      </c>
      <c r="M38" s="204">
        <f>SUMIF('Summary CY'!$26:$26,M$4,'Summary CY'!38:38)</f>
        <v>0</v>
      </c>
      <c r="N38" s="204">
        <f>SUMIF('Summary CY'!$26:$26,N$4,'Summary CY'!38:38)</f>
        <v>0</v>
      </c>
      <c r="O38" s="204">
        <f>SUMIF('Summary CY'!$26:$26,O$4,'Summary CY'!38:38)</f>
        <v>0</v>
      </c>
      <c r="P38" s="204">
        <f>SUMIF('Summary CY'!$26:$26,P$4,'Summary CY'!38:38)</f>
        <v>0</v>
      </c>
      <c r="Q38" s="204">
        <f>SUMIF('Summary CY'!$26:$26,Q$4,'Summary CY'!38:38)</f>
        <v>0</v>
      </c>
    </row>
    <row r="39" spans="1:17" s="307" customFormat="1" ht="15">
      <c r="A39" s="157">
        <v>39</v>
      </c>
      <c r="B39" s="157" t="s">
        <v>25</v>
      </c>
      <c r="C39" s="198"/>
      <c r="D39" s="198"/>
      <c r="E39" s="198"/>
      <c r="F39" s="198"/>
      <c r="G39" s="198"/>
      <c r="H39" s="198"/>
      <c r="I39" s="198"/>
      <c r="J39" s="198">
        <f>'2005'!$O39/1000</f>
        <v>8568.525</v>
      </c>
      <c r="K39" s="204">
        <f>SUMIF('Summary CY'!$26:$26,K$4,'Summary CY'!39:39)</f>
        <v>8882.328</v>
      </c>
      <c r="L39" s="204">
        <f>SUMIF('Summary CY'!$26:$26,L$4,'Summary CY'!39:39)</f>
        <v>8983.909</v>
      </c>
      <c r="M39" s="204">
        <f>SUMIF('Summary CY'!$26:$26,M$4,'Summary CY'!39:39)</f>
        <v>8416.101999999999</v>
      </c>
      <c r="N39" s="204">
        <f>SUMIF('Summary CY'!$26:$26,N$4,'Summary CY'!39:39)</f>
        <v>7746.530000000001</v>
      </c>
      <c r="O39" s="204">
        <f>SUMIF('Summary CY'!$26:$26,O$4,'Summary CY'!39:39)</f>
        <v>8977.001</v>
      </c>
      <c r="P39" s="204" t="e">
        <f>SUMIF('Summary CY'!$26:$26,P$4,'Summary CY'!39:39)</f>
        <v>#N/A</v>
      </c>
      <c r="Q39" s="204">
        <f>SUMIF('Summary CY'!$26:$26,Q$4,'Summary CY'!39:39)</f>
        <v>0</v>
      </c>
    </row>
    <row r="40" spans="1:17" s="307" customFormat="1" ht="15">
      <c r="A40" s="157">
        <v>40</v>
      </c>
      <c r="B40" s="346" t="s">
        <v>163</v>
      </c>
      <c r="C40" s="198"/>
      <c r="D40" s="198"/>
      <c r="E40" s="198"/>
      <c r="F40" s="198"/>
      <c r="G40" s="198"/>
      <c r="H40" s="198"/>
      <c r="I40" s="198"/>
      <c r="J40" s="198">
        <f>'2005'!$O40/1000</f>
        <v>52847.84</v>
      </c>
      <c r="K40" s="204">
        <f>SUMIF('Summary CY'!$26:$26,K$4,'Summary CY'!40:40)</f>
        <v>49904.26</v>
      </c>
      <c r="L40" s="204">
        <f>SUMIF('Summary CY'!$26:$26,L$4,'Summary CY'!40:40)</f>
        <v>66025.441</v>
      </c>
      <c r="M40" s="204">
        <f>SUMIF('Summary CY'!$26:$26,M$4,'Summary CY'!40:40)</f>
        <v>52984.26</v>
      </c>
      <c r="N40" s="204">
        <f>SUMIF('Summary CY'!$26:$26,N$4,'Summary CY'!40:40)</f>
        <v>66473.60800000001</v>
      </c>
      <c r="O40" s="204">
        <f>SUMIF('Summary CY'!$26:$26,O$4,'Summary CY'!40:40)</f>
        <v>73520.21</v>
      </c>
      <c r="P40" s="204" t="e">
        <f>SUMIF('Summary CY'!$26:$26,P$4,'Summary CY'!40:40)</f>
        <v>#N/A</v>
      </c>
      <c r="Q40" s="204">
        <f>SUMIF('Summary CY'!$26:$26,Q$4,'Summary CY'!40:40)</f>
        <v>0</v>
      </c>
    </row>
    <row r="41" spans="1:17" s="307" customFormat="1" ht="15">
      <c r="A41" s="157">
        <v>41</v>
      </c>
      <c r="B41" s="157" t="s">
        <v>114</v>
      </c>
      <c r="C41" s="198"/>
      <c r="D41" s="198"/>
      <c r="E41" s="198"/>
      <c r="F41" s="198"/>
      <c r="G41" s="198"/>
      <c r="H41" s="198"/>
      <c r="I41" s="198"/>
      <c r="J41" s="198">
        <f>'2005'!$O41/1000</f>
        <v>0</v>
      </c>
      <c r="K41" s="204">
        <f>SUMIF('Summary CY'!$26:$26,K$4,'Summary CY'!41:41)</f>
        <v>2077.457</v>
      </c>
      <c r="L41" s="204">
        <f>SUMIF('Summary CY'!$26:$26,L$4,'Summary CY'!41:41)</f>
        <v>0</v>
      </c>
      <c r="M41" s="204">
        <f>SUMIF('Summary CY'!$26:$26,M$4,'Summary CY'!41:41)</f>
        <v>2551.519</v>
      </c>
      <c r="N41" s="204">
        <f>SUMIF('Summary CY'!$26:$26,N$4,'Summary CY'!41:41)</f>
        <v>0</v>
      </c>
      <c r="O41" s="204">
        <f>SUMIF('Summary CY'!$26:$26,O$4,'Summary CY'!41:41)</f>
        <v>0</v>
      </c>
      <c r="P41" s="204">
        <f>SUMIF('Summary CY'!$26:$26,P$4,'Summary CY'!41:41)</f>
        <v>0</v>
      </c>
      <c r="Q41" s="204">
        <f>SUMIF('Summary CY'!$26:$26,Q$4,'Summary CY'!41:41)</f>
        <v>0</v>
      </c>
    </row>
    <row r="42" spans="1:17" s="307" customFormat="1" ht="15">
      <c r="A42" s="157">
        <v>42</v>
      </c>
      <c r="B42" s="157" t="s">
        <v>27</v>
      </c>
      <c r="C42" s="198"/>
      <c r="D42" s="198"/>
      <c r="E42" s="198"/>
      <c r="F42" s="198"/>
      <c r="G42" s="198"/>
      <c r="H42" s="198"/>
      <c r="I42" s="198"/>
      <c r="J42" s="198">
        <f>'2005'!$O42/1000</f>
        <v>3448.056</v>
      </c>
      <c r="K42" s="204">
        <f>SUMIF('Summary CY'!$26:$26,K$4,'Summary CY'!42:42)</f>
        <v>3144.716</v>
      </c>
      <c r="L42" s="204">
        <f>SUMIF('Summary CY'!$26:$26,L$4,'Summary CY'!42:42)</f>
        <v>15302.761</v>
      </c>
      <c r="M42" s="204">
        <f>SUMIF('Summary CY'!$26:$26,M$4,'Summary CY'!42:42)</f>
        <v>0</v>
      </c>
      <c r="N42" s="204">
        <f>SUMIF('Summary CY'!$26:$26,N$4,'Summary CY'!42:42)</f>
        <v>0</v>
      </c>
      <c r="O42" s="204">
        <f>SUMIF('Summary CY'!$26:$26,O$4,'Summary CY'!42:42)</f>
        <v>0</v>
      </c>
      <c r="P42" s="204">
        <f>SUMIF('Summary CY'!$26:$26,P$4,'Summary CY'!42:42)</f>
        <v>0</v>
      </c>
      <c r="Q42" s="204">
        <f>SUMIF('Summary CY'!$26:$26,Q$4,'Summary CY'!42:42)</f>
        <v>0</v>
      </c>
    </row>
    <row r="43" spans="1:17" s="307" customFormat="1" ht="15">
      <c r="A43" s="157">
        <v>43</v>
      </c>
      <c r="B43" s="157" t="s">
        <v>57</v>
      </c>
      <c r="C43" s="198"/>
      <c r="D43" s="198"/>
      <c r="E43" s="198"/>
      <c r="F43" s="198"/>
      <c r="G43" s="198"/>
      <c r="H43" s="198"/>
      <c r="I43" s="198"/>
      <c r="J43" s="198">
        <f>'2005'!$O43/1000</f>
        <v>9160.857</v>
      </c>
      <c r="K43" s="204">
        <f>SUMIF('Summary CY'!$26:$26,K$4,'Summary CY'!43:43)</f>
        <v>8363.615</v>
      </c>
      <c r="L43" s="204">
        <f>SUMIF('Summary CY'!$26:$26,L$4,'Summary CY'!43:43)</f>
        <v>0</v>
      </c>
      <c r="M43" s="204">
        <f>SUMIF('Summary CY'!$26:$26,M$4,'Summary CY'!43:43)</f>
        <v>12373.187</v>
      </c>
      <c r="N43" s="204">
        <f>SUMIF('Summary CY'!$26:$26,N$4,'Summary CY'!43:43)</f>
        <v>0</v>
      </c>
      <c r="O43" s="204">
        <f>SUMIF('Summary CY'!$26:$26,O$4,'Summary CY'!43:43)</f>
        <v>0</v>
      </c>
      <c r="P43" s="204">
        <f>SUMIF('Summary CY'!$26:$26,P$4,'Summary CY'!43:43)</f>
        <v>0</v>
      </c>
      <c r="Q43" s="204">
        <f>SUMIF('Summary CY'!$26:$26,Q$4,'Summary CY'!43:43)</f>
        <v>0</v>
      </c>
    </row>
    <row r="44" spans="1:17" s="307" customFormat="1" ht="15">
      <c r="A44" s="157">
        <v>44</v>
      </c>
      <c r="B44" s="157" t="s">
        <v>106</v>
      </c>
      <c r="C44" s="198"/>
      <c r="D44" s="198"/>
      <c r="E44" s="198"/>
      <c r="F44" s="198"/>
      <c r="G44" s="198"/>
      <c r="H44" s="198"/>
      <c r="I44" s="198"/>
      <c r="J44" s="198">
        <f>'2005'!$O44/1000</f>
        <v>4554.517</v>
      </c>
      <c r="K44" s="204">
        <f>SUMIF('Summary CY'!$26:$26,K$4,'Summary CY'!44:44)</f>
        <v>4917.585999999999</v>
      </c>
      <c r="L44" s="204">
        <f>SUMIF('Summary CY'!$26:$26,L$4,'Summary CY'!44:44)</f>
        <v>0</v>
      </c>
      <c r="M44" s="204">
        <f>SUMIF('Summary CY'!$26:$26,M$4,'Summary CY'!44:44)</f>
        <v>7550.706</v>
      </c>
      <c r="N44" s="204">
        <f>SUMIF('Summary CY'!$26:$26,N$4,'Summary CY'!44:44)</f>
        <v>12746.004</v>
      </c>
      <c r="O44" s="204">
        <f>SUMIF('Summary CY'!$26:$26,O$4,'Summary CY'!44:44)</f>
        <v>12225.252</v>
      </c>
      <c r="P44" s="204" t="e">
        <f>SUMIF('Summary CY'!$26:$26,P$4,'Summary CY'!44:44)</f>
        <v>#N/A</v>
      </c>
      <c r="Q44" s="204">
        <f>SUMIF('Summary CY'!$26:$26,Q$4,'Summary CY'!44:44)</f>
        <v>0</v>
      </c>
    </row>
    <row r="45" spans="1:17" s="307" customFormat="1" ht="15">
      <c r="A45" s="157">
        <v>45</v>
      </c>
      <c r="B45" s="157" t="s">
        <v>115</v>
      </c>
      <c r="C45" s="198"/>
      <c r="D45" s="198"/>
      <c r="E45" s="198"/>
      <c r="F45" s="198"/>
      <c r="G45" s="198"/>
      <c r="H45" s="198"/>
      <c r="I45" s="198"/>
      <c r="J45" s="198">
        <f>'2005'!$O45/1000</f>
        <v>0</v>
      </c>
      <c r="K45" s="204">
        <f>SUMIF('Summary CY'!$26:$26,K$4,'Summary CY'!45:45)</f>
        <v>2264.835</v>
      </c>
      <c r="L45" s="204">
        <f>SUMIF('Summary CY'!$26:$26,L$4,'Summary CY'!45:45)</f>
        <v>0</v>
      </c>
      <c r="M45" s="204">
        <f>SUMIF('Summary CY'!$26:$26,M$4,'Summary CY'!45:45)</f>
        <v>5094.844</v>
      </c>
      <c r="N45" s="204">
        <f>SUMIF('Summary CY'!$26:$26,N$4,'Summary CY'!45:45)</f>
        <v>0</v>
      </c>
      <c r="O45" s="204">
        <f>SUMIF('Summary CY'!$26:$26,O$4,'Summary CY'!45:45)</f>
        <v>0</v>
      </c>
      <c r="P45" s="204" t="e">
        <f>SUMIF('Summary CY'!$26:$26,P$4,'Summary CY'!45:45)</f>
        <v>#N/A</v>
      </c>
      <c r="Q45" s="204">
        <f>SUMIF('Summary CY'!$26:$26,Q$4,'Summary CY'!45:45)</f>
        <v>0</v>
      </c>
    </row>
    <row r="46" spans="1:17" s="307" customFormat="1" ht="15">
      <c r="A46" s="157">
        <v>46</v>
      </c>
      <c r="B46" s="157" t="s">
        <v>116</v>
      </c>
      <c r="C46" s="198"/>
      <c r="D46" s="198"/>
      <c r="E46" s="198"/>
      <c r="F46" s="198"/>
      <c r="G46" s="198"/>
      <c r="H46" s="198"/>
      <c r="I46" s="198"/>
      <c r="J46" s="198">
        <f>'2005'!$O46/1000</f>
        <v>0</v>
      </c>
      <c r="K46" s="204">
        <f>SUMIF('Summary CY'!$26:$26,K$4,'Summary CY'!46:46)</f>
        <v>1407.267</v>
      </c>
      <c r="L46" s="204">
        <f>SUMIF('Summary CY'!$26:$26,L$4,'Summary CY'!46:46)</f>
        <v>0</v>
      </c>
      <c r="M46" s="204">
        <f>SUMIF('Summary CY'!$26:$26,M$4,'Summary CY'!46:46)</f>
        <v>5143.871</v>
      </c>
      <c r="N46" s="204">
        <f>SUMIF('Summary CY'!$26:$26,N$4,'Summary CY'!46:46)</f>
        <v>7961.023</v>
      </c>
      <c r="O46" s="204">
        <f>SUMIF('Summary CY'!$26:$26,O$4,'Summary CY'!46:46)</f>
        <v>0</v>
      </c>
      <c r="P46" s="204" t="e">
        <f>SUMIF('Summary CY'!$26:$26,P$4,'Summary CY'!46:46)</f>
        <v>#N/A</v>
      </c>
      <c r="Q46" s="204">
        <f>SUMIF('Summary CY'!$26:$26,Q$4,'Summary CY'!46:46)</f>
        <v>0</v>
      </c>
    </row>
    <row r="47" spans="1:17" s="307" customFormat="1" ht="15">
      <c r="A47" s="157">
        <v>47</v>
      </c>
      <c r="B47" s="157" t="s">
        <v>107</v>
      </c>
      <c r="C47" s="198"/>
      <c r="D47" s="198"/>
      <c r="E47" s="198"/>
      <c r="F47" s="198"/>
      <c r="G47" s="198"/>
      <c r="H47" s="198"/>
      <c r="I47" s="198"/>
      <c r="J47" s="198">
        <f>'2005'!$O47/1000</f>
        <v>882.263</v>
      </c>
      <c r="K47" s="204">
        <f>SUMIF('Summary CY'!$26:$26,K$4,'Summary CY'!47:47)</f>
        <v>928.523</v>
      </c>
      <c r="L47" s="204">
        <f>SUMIF('Summary CY'!$26:$26,L$4,'Summary CY'!47:47)</f>
        <v>6583.2699999999995</v>
      </c>
      <c r="M47" s="204">
        <f>SUMIF('Summary CY'!$26:$26,M$4,'Summary CY'!47:47)</f>
        <v>0</v>
      </c>
      <c r="N47" s="204">
        <f>SUMIF('Summary CY'!$26:$26,N$4,'Summary CY'!47:47)</f>
        <v>0</v>
      </c>
      <c r="O47" s="204">
        <f>SUMIF('Summary CY'!$26:$26,O$4,'Summary CY'!47:47)</f>
        <v>8470.319000000001</v>
      </c>
      <c r="P47" s="204" t="e">
        <f>SUMIF('Summary CY'!$26:$26,P$4,'Summary CY'!47:47)</f>
        <v>#N/A</v>
      </c>
      <c r="Q47" s="204">
        <f>SUMIF('Summary CY'!$26:$26,Q$4,'Summary CY'!47:47)</f>
        <v>0</v>
      </c>
    </row>
    <row r="48" spans="1:17" s="307" customFormat="1" ht="15">
      <c r="A48" s="157"/>
      <c r="B48" s="157"/>
      <c r="C48" s="198"/>
      <c r="D48" s="198"/>
      <c r="E48" s="198"/>
      <c r="F48" s="198"/>
      <c r="G48" s="198"/>
      <c r="H48" s="198"/>
      <c r="I48" s="198"/>
      <c r="J48" s="198">
        <f>'2005'!$O48/1000</f>
        <v>0</v>
      </c>
      <c r="K48" s="204">
        <f>SUMIF('Summary CY'!$26:$26,K$4,'Summary CY'!48:48)</f>
        <v>0</v>
      </c>
      <c r="L48" s="204">
        <f>SUMIF('Summary CY'!$26:$26,L$4,'Summary CY'!48:48)</f>
        <v>0</v>
      </c>
      <c r="M48" s="204">
        <f>SUMIF('Summary CY'!$26:$26,M$4,'Summary CY'!48:48)</f>
        <v>0</v>
      </c>
      <c r="N48" s="204">
        <f>SUMIF('Summary CY'!$26:$26,N$4,'Summary CY'!48:48)</f>
        <v>0</v>
      </c>
      <c r="O48" s="204">
        <f>SUMIF('Summary CY'!$26:$26,O$4,'Summary CY'!48:48)</f>
        <v>0</v>
      </c>
      <c r="P48" s="204">
        <f>SUMIF('Summary CY'!$26:$26,P$4,'Summary CY'!48:48)</f>
        <v>0</v>
      </c>
      <c r="Q48" s="204">
        <f>SUMIF('Summary CY'!$26:$26,Q$4,'Summary CY'!48:48)</f>
        <v>0</v>
      </c>
    </row>
    <row r="49" spans="1:17" s="307" customFormat="1" ht="15">
      <c r="A49" s="157">
        <v>49</v>
      </c>
      <c r="B49" s="196" t="s">
        <v>28</v>
      </c>
      <c r="C49" s="198"/>
      <c r="D49" s="198"/>
      <c r="E49" s="198"/>
      <c r="F49" s="198"/>
      <c r="G49" s="198"/>
      <c r="H49" s="198"/>
      <c r="I49" s="198"/>
      <c r="J49" s="198">
        <f>'2005'!$O49/1000</f>
        <v>70893.533</v>
      </c>
      <c r="K49" s="204">
        <f>SUMIF('Summary CY'!$26:$26,K$4,'Summary CY'!49:49)</f>
        <v>73008.25899999999</v>
      </c>
      <c r="L49" s="204">
        <f>SUMIF('Summary CY'!$26:$26,L$4,'Summary CY'!49:49)</f>
        <v>87911.472</v>
      </c>
      <c r="M49" s="204">
        <f>SUMIF('Summary CY'!$26:$26,M$4,'Summary CY'!49:49)</f>
        <v>85698.387</v>
      </c>
      <c r="N49" s="204">
        <f>SUMIF('Summary CY'!$26:$26,N$4,'Summary CY'!49:49)</f>
        <v>87180.63500000001</v>
      </c>
      <c r="O49" s="204">
        <f>SUMIF('Summary CY'!$26:$26,O$4,'Summary CY'!49:49)</f>
        <v>94215.781</v>
      </c>
      <c r="P49" s="204" t="e">
        <f>SUMIF('Summary CY'!$26:$26,P$4,'Summary CY'!49:49)</f>
        <v>#N/A</v>
      </c>
      <c r="Q49" s="204">
        <f>SUMIF('Summary CY'!$26:$26,Q$4,'Summary CY'!49:49)</f>
        <v>0</v>
      </c>
    </row>
    <row r="50" spans="1:17" s="307" customFormat="1" ht="15.75" thickBot="1">
      <c r="A50" s="15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</row>
    <row r="51" spans="1:17" ht="15.75" thickTop="1">
      <c r="A51" s="157"/>
      <c r="B51" s="201">
        <f ca="1">NOW()</f>
        <v>40948.65149502315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5">
      <c r="A52" s="157"/>
      <c r="B52" s="201" t="s">
        <v>97</v>
      </c>
      <c r="C52" s="204">
        <f aca="true" t="shared" si="3" ref="C52:M52">SUM(C40:C47)-C49</f>
        <v>0</v>
      </c>
      <c r="D52" s="204">
        <f t="shared" si="3"/>
        <v>0</v>
      </c>
      <c r="E52" s="204">
        <f t="shared" si="3"/>
        <v>0</v>
      </c>
      <c r="F52" s="204">
        <f t="shared" si="3"/>
        <v>0</v>
      </c>
      <c r="G52" s="204">
        <f t="shared" si="3"/>
        <v>0</v>
      </c>
      <c r="H52" s="204">
        <f t="shared" si="3"/>
        <v>0</v>
      </c>
      <c r="I52" s="204">
        <f t="shared" si="3"/>
        <v>0</v>
      </c>
      <c r="J52" s="204">
        <f t="shared" si="3"/>
        <v>0</v>
      </c>
      <c r="K52" s="204">
        <f t="shared" si="3"/>
        <v>0</v>
      </c>
      <c r="L52" s="204">
        <f t="shared" si="3"/>
        <v>0</v>
      </c>
      <c r="M52" s="204">
        <f t="shared" si="3"/>
        <v>0</v>
      </c>
      <c r="N52" s="204">
        <f>SUM(N40:N47)-N49</f>
        <v>0</v>
      </c>
      <c r="O52" s="204">
        <f>SUM(O40:O47)-O49</f>
        <v>0</v>
      </c>
      <c r="P52" s="204" t="e">
        <f>SUM(P40:P47)-P49</f>
        <v>#N/A</v>
      </c>
      <c r="Q52" s="204">
        <f>SUM(Q40:Q47)-Q49</f>
        <v>0</v>
      </c>
    </row>
    <row r="53" spans="1:17" ht="15">
      <c r="A53" s="157"/>
      <c r="B53" s="201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ht="15">
      <c r="A54" s="157"/>
      <c r="B54" s="201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40">
      <selection activeCell="C6" sqref="C6"/>
    </sheetView>
  </sheetViews>
  <sheetFormatPr defaultColWidth="11.5546875" defaultRowHeight="15"/>
  <cols>
    <col min="1" max="1" width="2.99609375" style="387" customWidth="1"/>
    <col min="2" max="2" width="13.99609375" style="387" customWidth="1"/>
    <col min="3" max="3" width="6.99609375" style="387" customWidth="1"/>
    <col min="4" max="5" width="10.77734375" style="387" bestFit="1" customWidth="1"/>
    <col min="6" max="6" width="10.99609375" style="387" bestFit="1" customWidth="1"/>
    <col min="7" max="7" width="7.4453125" style="387" customWidth="1"/>
    <col min="8" max="8" width="7.77734375" style="387" customWidth="1"/>
    <col min="9" max="9" width="11.6640625" style="387" bestFit="1" customWidth="1"/>
    <col min="10" max="10" width="7.6640625" style="387" customWidth="1"/>
    <col min="11" max="11" width="8.6640625" style="387" customWidth="1"/>
    <col min="12" max="12" width="7.6640625" style="387" customWidth="1"/>
    <col min="13" max="13" width="9.10546875" style="387" customWidth="1"/>
    <col min="14" max="14" width="10.21484375" style="387" customWidth="1"/>
    <col min="15" max="15" width="8.6640625" style="387" customWidth="1"/>
    <col min="16" max="16" width="8.88671875" style="387" customWidth="1"/>
    <col min="17" max="16384" width="11.5546875" style="387" customWidth="1"/>
  </cols>
  <sheetData>
    <row r="1" spans="1:35" ht="12.75">
      <c r="A1" s="123"/>
      <c r="B1" s="23" t="s">
        <v>165</v>
      </c>
      <c r="C1" s="124" t="s">
        <v>166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20"/>
      <c r="P1" s="421"/>
      <c r="Q1" s="420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123"/>
      <c r="B3" s="127"/>
      <c r="C3" s="128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390"/>
      <c r="P3" s="423"/>
      <c r="Q3" s="420"/>
      <c r="R3" s="23"/>
      <c r="S3" s="23"/>
      <c r="T3" s="4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4.2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23"/>
      <c r="S4" s="23"/>
      <c r="T4" s="425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97"/>
      <c r="S5" s="297"/>
      <c r="T5" s="297"/>
      <c r="U5" s="297"/>
      <c r="V5" s="426"/>
      <c r="W5" s="297"/>
      <c r="X5" s="297"/>
      <c r="Y5" s="297"/>
      <c r="Z5" s="297"/>
      <c r="AA5" s="297"/>
      <c r="AB5" s="426"/>
      <c r="AC5" s="297"/>
      <c r="AD5" s="297"/>
      <c r="AE5" s="297"/>
      <c r="AF5" s="297"/>
      <c r="AG5" s="297"/>
      <c r="AH5" s="297"/>
      <c r="AI5" s="297"/>
    </row>
    <row r="6" spans="1:35" s="388" customFormat="1" ht="12.75">
      <c r="A6" s="157"/>
      <c r="B6" s="157" t="s">
        <v>17</v>
      </c>
      <c r="C6" s="208">
        <v>208224</v>
      </c>
      <c r="D6" s="204">
        <v>189770</v>
      </c>
      <c r="E6" s="204">
        <v>163683</v>
      </c>
      <c r="F6" s="204">
        <v>224639</v>
      </c>
      <c r="G6" s="208">
        <v>209840</v>
      </c>
      <c r="H6" s="204">
        <v>156917</v>
      </c>
      <c r="I6" s="204">
        <v>163314</v>
      </c>
      <c r="J6" s="204">
        <v>115448</v>
      </c>
      <c r="K6" s="204">
        <v>164666</v>
      </c>
      <c r="L6" s="204">
        <v>252106</v>
      </c>
      <c r="M6" s="204">
        <v>248478</v>
      </c>
      <c r="N6" s="208">
        <v>215084</v>
      </c>
      <c r="O6" s="198">
        <f aca="true" t="shared" si="0" ref="O6:O15">SUM(C6:N6)</f>
        <v>2312169</v>
      </c>
      <c r="P6" s="308">
        <f aca="true" t="shared" si="1" ref="P6:P15">+O6/$O$19</f>
        <v>0.1158099970330866</v>
      </c>
      <c r="Q6" s="427"/>
      <c r="R6" s="297"/>
      <c r="S6" s="297"/>
      <c r="T6" s="328"/>
      <c r="U6" s="338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s="388" customFormat="1" ht="12.75">
      <c r="A7" s="157"/>
      <c r="B7" s="157" t="s">
        <v>18</v>
      </c>
      <c r="C7" s="208">
        <v>190524</v>
      </c>
      <c r="D7" s="204">
        <v>127787</v>
      </c>
      <c r="E7" s="204">
        <v>115031</v>
      </c>
      <c r="F7" s="204">
        <v>192686</v>
      </c>
      <c r="G7" s="208">
        <v>207516</v>
      </c>
      <c r="H7" s="204">
        <v>137087</v>
      </c>
      <c r="I7" s="204">
        <v>129233</v>
      </c>
      <c r="J7" s="204">
        <v>110569</v>
      </c>
      <c r="K7" s="204">
        <v>103295</v>
      </c>
      <c r="L7" s="204">
        <v>148525</v>
      </c>
      <c r="M7" s="204">
        <v>156531</v>
      </c>
      <c r="N7" s="208">
        <v>172216</v>
      </c>
      <c r="O7" s="198">
        <f t="shared" si="0"/>
        <v>1791000</v>
      </c>
      <c r="P7" s="308">
        <f t="shared" si="1"/>
        <v>0.08970611779945935</v>
      </c>
      <c r="Q7" s="427"/>
      <c r="R7" s="297"/>
      <c r="S7" s="297"/>
      <c r="T7" s="328"/>
      <c r="U7" s="338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</row>
    <row r="8" spans="1:35" s="388" customFormat="1" ht="12.75">
      <c r="A8" s="157"/>
      <c r="B8" s="157" t="s">
        <v>19</v>
      </c>
      <c r="C8" s="208">
        <v>202550</v>
      </c>
      <c r="D8" s="204">
        <v>147051</v>
      </c>
      <c r="E8" s="204">
        <v>143900</v>
      </c>
      <c r="F8" s="204">
        <v>191509</v>
      </c>
      <c r="G8" s="208">
        <v>199208</v>
      </c>
      <c r="H8" s="204">
        <v>119900</v>
      </c>
      <c r="I8" s="204">
        <v>107067</v>
      </c>
      <c r="J8" s="204">
        <v>115738</v>
      </c>
      <c r="K8" s="204">
        <v>116838</v>
      </c>
      <c r="L8" s="204">
        <v>131497</v>
      </c>
      <c r="M8" s="204">
        <v>189509</v>
      </c>
      <c r="N8" s="208">
        <v>211767</v>
      </c>
      <c r="O8" s="198">
        <f t="shared" si="0"/>
        <v>1876534</v>
      </c>
      <c r="P8" s="308">
        <f t="shared" si="1"/>
        <v>0.09399027362294285</v>
      </c>
      <c r="Q8" s="427"/>
      <c r="R8" s="297"/>
      <c r="S8" s="297"/>
      <c r="T8" s="328"/>
      <c r="U8" s="338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s="388" customFormat="1" ht="12.75">
      <c r="A9" s="157"/>
      <c r="B9" s="157" t="s">
        <v>20</v>
      </c>
      <c r="C9" s="208">
        <v>225945.5</v>
      </c>
      <c r="D9" s="204">
        <v>179547</v>
      </c>
      <c r="E9" s="204">
        <v>196158</v>
      </c>
      <c r="F9" s="204">
        <v>196056</v>
      </c>
      <c r="G9" s="208">
        <v>209127</v>
      </c>
      <c r="H9" s="204">
        <v>141346</v>
      </c>
      <c r="I9" s="204">
        <v>79629</v>
      </c>
      <c r="J9" s="204">
        <v>58840</v>
      </c>
      <c r="K9" s="204">
        <v>94644</v>
      </c>
      <c r="L9" s="204">
        <v>98298</v>
      </c>
      <c r="M9" s="204">
        <v>124545</v>
      </c>
      <c r="N9" s="208">
        <v>190245</v>
      </c>
      <c r="O9" s="198">
        <f t="shared" si="0"/>
        <v>1794380.5</v>
      </c>
      <c r="P9" s="308">
        <f t="shared" si="1"/>
        <v>0.08987543747071622</v>
      </c>
      <c r="Q9" s="427"/>
      <c r="R9" s="297"/>
      <c r="S9" s="297"/>
      <c r="T9" s="328"/>
      <c r="U9" s="33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s="388" customFormat="1" ht="12.75">
      <c r="A10" s="157"/>
      <c r="B10" s="157" t="s">
        <v>21</v>
      </c>
      <c r="C10" s="208">
        <v>256558</v>
      </c>
      <c r="D10" s="204">
        <v>254255</v>
      </c>
      <c r="E10" s="204">
        <v>269627</v>
      </c>
      <c r="F10" s="204">
        <v>317571</v>
      </c>
      <c r="G10" s="208">
        <v>317482</v>
      </c>
      <c r="H10" s="204">
        <v>282786</v>
      </c>
      <c r="I10" s="204">
        <v>214233</v>
      </c>
      <c r="J10" s="204">
        <v>163387</v>
      </c>
      <c r="K10" s="204">
        <v>194696</v>
      </c>
      <c r="L10" s="204">
        <v>288437</v>
      </c>
      <c r="M10" s="204">
        <v>340596</v>
      </c>
      <c r="N10" s="208">
        <v>312963</v>
      </c>
      <c r="O10" s="198">
        <f t="shared" si="0"/>
        <v>3212591</v>
      </c>
      <c r="P10" s="308">
        <f t="shared" si="1"/>
        <v>0.16090958497346894</v>
      </c>
      <c r="Q10" s="427"/>
      <c r="R10" s="297"/>
      <c r="S10" s="297"/>
      <c r="T10" s="328"/>
      <c r="U10" s="338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</row>
    <row r="11" spans="1:35" s="388" customFormat="1" ht="12.75">
      <c r="A11" s="157"/>
      <c r="B11" s="157" t="s">
        <v>22</v>
      </c>
      <c r="C11" s="208">
        <v>123041</v>
      </c>
      <c r="D11" s="204">
        <v>76976</v>
      </c>
      <c r="E11" s="204">
        <v>94387</v>
      </c>
      <c r="F11" s="204">
        <v>133360</v>
      </c>
      <c r="G11" s="208">
        <v>116571</v>
      </c>
      <c r="H11" s="204">
        <v>84016</v>
      </c>
      <c r="I11" s="204">
        <v>73176</v>
      </c>
      <c r="J11" s="204">
        <v>71587</v>
      </c>
      <c r="K11" s="204">
        <v>109330</v>
      </c>
      <c r="L11" s="204">
        <v>108854</v>
      </c>
      <c r="M11" s="204">
        <v>95456</v>
      </c>
      <c r="N11" s="208">
        <v>116535</v>
      </c>
      <c r="O11" s="198">
        <f>SUM(C11:N11)</f>
        <v>1203289</v>
      </c>
      <c r="P11" s="308">
        <f t="shared" si="1"/>
        <v>0.06026933823606568</v>
      </c>
      <c r="Q11" s="427"/>
      <c r="R11" s="297"/>
      <c r="S11" s="297"/>
      <c r="T11" s="328"/>
      <c r="U11" s="338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1:35" s="388" customFormat="1" ht="12.75">
      <c r="A12" s="157"/>
      <c r="B12" s="157" t="s">
        <v>23</v>
      </c>
      <c r="C12" s="208">
        <v>161059</v>
      </c>
      <c r="D12" s="204">
        <v>140094</v>
      </c>
      <c r="E12" s="204">
        <v>135686</v>
      </c>
      <c r="F12" s="204">
        <v>190803</v>
      </c>
      <c r="G12" s="208">
        <v>173912</v>
      </c>
      <c r="H12" s="204">
        <v>136526</v>
      </c>
      <c r="I12" s="204">
        <v>116824</v>
      </c>
      <c r="J12" s="204">
        <v>101986</v>
      </c>
      <c r="K12" s="204">
        <v>132658</v>
      </c>
      <c r="L12" s="204">
        <v>166810</v>
      </c>
      <c r="M12" s="204">
        <v>141326</v>
      </c>
      <c r="N12" s="208">
        <v>189332</v>
      </c>
      <c r="O12" s="198">
        <f t="shared" si="0"/>
        <v>1787016</v>
      </c>
      <c r="P12" s="308">
        <f t="shared" si="1"/>
        <v>0.0895065705223443</v>
      </c>
      <c r="Q12" s="427"/>
      <c r="R12" s="297"/>
      <c r="S12" s="297"/>
      <c r="T12" s="328"/>
      <c r="U12" s="338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1:35" s="388" customFormat="1" ht="12.75">
      <c r="A13" s="157"/>
      <c r="B13" s="157" t="s">
        <v>24</v>
      </c>
      <c r="C13" s="208">
        <v>115380</v>
      </c>
      <c r="D13" s="204">
        <v>69346</v>
      </c>
      <c r="E13" s="204">
        <v>77055</v>
      </c>
      <c r="F13" s="204">
        <v>107130</v>
      </c>
      <c r="G13" s="208">
        <v>128987</v>
      </c>
      <c r="H13" s="204">
        <v>79489</v>
      </c>
      <c r="I13" s="204">
        <v>76479</v>
      </c>
      <c r="J13" s="204">
        <v>52940</v>
      </c>
      <c r="K13" s="204">
        <v>126560</v>
      </c>
      <c r="L13" s="204">
        <v>121273</v>
      </c>
      <c r="M13" s="204">
        <v>105045</v>
      </c>
      <c r="N13" s="208">
        <v>135848</v>
      </c>
      <c r="O13" s="198">
        <f t="shared" si="0"/>
        <v>1195532</v>
      </c>
      <c r="P13" s="308">
        <f t="shared" si="1"/>
        <v>0.05988081207427316</v>
      </c>
      <c r="Q13" s="427"/>
      <c r="R13" s="297"/>
      <c r="S13" s="297"/>
      <c r="T13" s="328"/>
      <c r="U13" s="338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</row>
    <row r="14" spans="1:35" s="388" customFormat="1" ht="12.75">
      <c r="A14" s="157"/>
      <c r="B14" s="157" t="s">
        <v>25</v>
      </c>
      <c r="C14" s="208">
        <v>164518</v>
      </c>
      <c r="D14" s="204">
        <v>145963</v>
      </c>
      <c r="E14" s="204">
        <v>147837</v>
      </c>
      <c r="F14" s="204">
        <v>175138</v>
      </c>
      <c r="G14" s="208">
        <v>209814</v>
      </c>
      <c r="H14" s="204">
        <v>157484</v>
      </c>
      <c r="I14" s="204">
        <v>149655</v>
      </c>
      <c r="J14" s="204">
        <v>84892</v>
      </c>
      <c r="K14" s="204">
        <v>63352</v>
      </c>
      <c r="L14" s="204">
        <v>29664</v>
      </c>
      <c r="M14" s="204">
        <v>0</v>
      </c>
      <c r="N14" s="208">
        <v>125272</v>
      </c>
      <c r="O14" s="198">
        <f t="shared" si="0"/>
        <v>1453589</v>
      </c>
      <c r="P14" s="308">
        <f t="shared" si="1"/>
        <v>0.07280615637409174</v>
      </c>
      <c r="Q14" s="427"/>
      <c r="R14" s="297"/>
      <c r="S14" s="297"/>
      <c r="T14" s="328"/>
      <c r="U14" s="338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</row>
    <row r="15" spans="1:66" s="389" customFormat="1" ht="12.75">
      <c r="A15" s="200"/>
      <c r="B15" s="310" t="s">
        <v>26</v>
      </c>
      <c r="C15" s="311">
        <f>SUM(C6:C14)</f>
        <v>1647799.5</v>
      </c>
      <c r="D15" s="311">
        <f>SUM(D6:D14)</f>
        <v>1330789</v>
      </c>
      <c r="E15" s="311">
        <f aca="true" t="shared" si="2" ref="E15:M15">SUM(E6:E14)</f>
        <v>1343364</v>
      </c>
      <c r="F15" s="311">
        <f t="shared" si="2"/>
        <v>1728892</v>
      </c>
      <c r="G15" s="311">
        <f>SUM(G6:G14)</f>
        <v>1772457</v>
      </c>
      <c r="H15" s="311">
        <f t="shared" si="2"/>
        <v>1295551</v>
      </c>
      <c r="I15" s="311">
        <f t="shared" si="2"/>
        <v>1109610</v>
      </c>
      <c r="J15" s="311">
        <f t="shared" si="2"/>
        <v>875387</v>
      </c>
      <c r="K15" s="311">
        <f t="shared" si="2"/>
        <v>1106039</v>
      </c>
      <c r="L15" s="311">
        <f t="shared" si="2"/>
        <v>1345464</v>
      </c>
      <c r="M15" s="311">
        <f t="shared" si="2"/>
        <v>1401486</v>
      </c>
      <c r="N15" s="311">
        <f>SUM(N6:N14)</f>
        <v>1669262</v>
      </c>
      <c r="O15" s="198">
        <f t="shared" si="0"/>
        <v>16626100.5</v>
      </c>
      <c r="P15" s="312">
        <f t="shared" si="1"/>
        <v>0.8327542881064488</v>
      </c>
      <c r="Q15" s="428"/>
      <c r="R15" s="429"/>
      <c r="S15" s="429"/>
      <c r="T15" s="335"/>
      <c r="U15" s="430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66" s="389" customFormat="1" ht="12.7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428"/>
      <c r="R16" s="429"/>
      <c r="S16" s="429"/>
      <c r="T16" s="335"/>
      <c r="U16" s="430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1:35" s="388" customFormat="1" ht="12.75">
      <c r="A17" s="157"/>
      <c r="B17" s="157" t="s">
        <v>27</v>
      </c>
      <c r="C17" s="204">
        <v>248458</v>
      </c>
      <c r="D17" s="204">
        <v>223514</v>
      </c>
      <c r="E17" s="204">
        <v>274203</v>
      </c>
      <c r="F17" s="204">
        <v>351067</v>
      </c>
      <c r="G17" s="204">
        <v>335633</v>
      </c>
      <c r="H17" s="204">
        <v>280294</v>
      </c>
      <c r="I17" s="204">
        <v>190500</v>
      </c>
      <c r="J17" s="204">
        <v>147060</v>
      </c>
      <c r="K17" s="204">
        <v>124810</v>
      </c>
      <c r="L17" s="204">
        <v>217917</v>
      </c>
      <c r="M17" s="204">
        <v>255333</v>
      </c>
      <c r="N17" s="328">
        <v>274511</v>
      </c>
      <c r="O17" s="198">
        <f>SUM(C17:N17)</f>
        <v>2923300</v>
      </c>
      <c r="P17" s="308"/>
      <c r="Q17" s="42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</row>
    <row r="18" spans="1:35" s="388" customFormat="1" ht="12.75">
      <c r="A18" s="157"/>
      <c r="B18" s="157" t="s">
        <v>189</v>
      </c>
      <c r="C18" s="204">
        <v>0</v>
      </c>
      <c r="D18" s="204">
        <v>0</v>
      </c>
      <c r="E18" s="204">
        <v>0</v>
      </c>
      <c r="F18" s="204">
        <v>0</v>
      </c>
      <c r="G18" s="204">
        <v>67491</v>
      </c>
      <c r="H18" s="204">
        <v>45908</v>
      </c>
      <c r="I18" s="204">
        <v>30617</v>
      </c>
      <c r="J18" s="204">
        <v>26464</v>
      </c>
      <c r="K18" s="204">
        <v>46701</v>
      </c>
      <c r="L18" s="204">
        <v>68393</v>
      </c>
      <c r="M18" s="204">
        <v>54290</v>
      </c>
      <c r="N18" s="204">
        <v>75929</v>
      </c>
      <c r="O18" s="198">
        <f>SUM(C18:N18)</f>
        <v>415793</v>
      </c>
      <c r="P18" s="432"/>
      <c r="Q18" s="427"/>
      <c r="R18" s="297"/>
      <c r="S18" s="297"/>
      <c r="T18" s="328"/>
      <c r="U18" s="338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</row>
    <row r="19" spans="1:35" s="388" customFormat="1" ht="12.75">
      <c r="A19" s="157"/>
      <c r="B19" s="196" t="s">
        <v>28</v>
      </c>
      <c r="C19" s="321">
        <f aca="true" t="shared" si="3" ref="C19:O19">SUM(C15:C18)</f>
        <v>1896257.5</v>
      </c>
      <c r="D19" s="321">
        <f t="shared" si="3"/>
        <v>1554303</v>
      </c>
      <c r="E19" s="321">
        <f t="shared" si="3"/>
        <v>1617567</v>
      </c>
      <c r="F19" s="321">
        <f t="shared" si="3"/>
        <v>2079959</v>
      </c>
      <c r="G19" s="321">
        <f t="shared" si="3"/>
        <v>2175581</v>
      </c>
      <c r="H19" s="321">
        <f t="shared" si="3"/>
        <v>1621753</v>
      </c>
      <c r="I19" s="321">
        <f t="shared" si="3"/>
        <v>1330727</v>
      </c>
      <c r="J19" s="321">
        <f t="shared" si="3"/>
        <v>1048911</v>
      </c>
      <c r="K19" s="321">
        <f t="shared" si="3"/>
        <v>1277550</v>
      </c>
      <c r="L19" s="321">
        <f t="shared" si="3"/>
        <v>1631774</v>
      </c>
      <c r="M19" s="321">
        <f t="shared" si="3"/>
        <v>1711109</v>
      </c>
      <c r="N19" s="321">
        <f t="shared" si="3"/>
        <v>2019702</v>
      </c>
      <c r="O19" s="321">
        <f t="shared" si="3"/>
        <v>19965193.5</v>
      </c>
      <c r="P19" s="322">
        <f>+P15+P17</f>
        <v>0.8327542881064488</v>
      </c>
      <c r="Q19" s="42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</row>
    <row r="20" spans="1:35" s="388" customFormat="1" ht="12.75">
      <c r="A20" s="157"/>
      <c r="B20" s="197" t="s">
        <v>50</v>
      </c>
      <c r="C20" s="323">
        <f>C19</f>
        <v>1896257.5</v>
      </c>
      <c r="D20" s="323">
        <f aca="true" t="shared" si="4" ref="D20:N20">C20+D19</f>
        <v>3450560.5</v>
      </c>
      <c r="E20" s="323">
        <f t="shared" si="4"/>
        <v>5068127.5</v>
      </c>
      <c r="F20" s="323">
        <f t="shared" si="4"/>
        <v>7148086.5</v>
      </c>
      <c r="G20" s="323">
        <f t="shared" si="4"/>
        <v>9323667.5</v>
      </c>
      <c r="H20" s="323">
        <f t="shared" si="4"/>
        <v>10945420.5</v>
      </c>
      <c r="I20" s="323">
        <f t="shared" si="4"/>
        <v>12276147.5</v>
      </c>
      <c r="J20" s="323">
        <f t="shared" si="4"/>
        <v>13325058.5</v>
      </c>
      <c r="K20" s="323">
        <f t="shared" si="4"/>
        <v>14602608.5</v>
      </c>
      <c r="L20" s="323">
        <f t="shared" si="4"/>
        <v>16234382.5</v>
      </c>
      <c r="M20" s="323">
        <f t="shared" si="4"/>
        <v>17945491.5</v>
      </c>
      <c r="N20" s="323">
        <f t="shared" si="4"/>
        <v>19965193.5</v>
      </c>
      <c r="O20" s="323"/>
      <c r="P20" s="322"/>
      <c r="Q20" s="42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</row>
    <row r="21" spans="1:35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</row>
    <row r="22" spans="1:35" ht="13.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122" t="s">
        <v>30</v>
      </c>
      <c r="B23" s="122"/>
      <c r="C23" s="123"/>
      <c r="D23" s="123"/>
      <c r="E23" s="123"/>
      <c r="F23" s="123"/>
      <c r="G23" s="123"/>
      <c r="H23" s="207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.7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.75">
      <c r="A25" s="123"/>
      <c r="B25" s="123"/>
      <c r="C25" s="124" t="s">
        <v>164</v>
      </c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20"/>
      <c r="P25" s="433"/>
      <c r="Q25" s="434" t="s">
        <v>30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thickBot="1">
      <c r="A27" s="123"/>
      <c r="B27" s="127"/>
      <c r="C27" s="128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390">
        <v>2008</v>
      </c>
      <c r="P27" s="423"/>
      <c r="Q27" s="4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388" customFormat="1" ht="13.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198">
        <f>SUM(C29:N29)</f>
        <v>0</v>
      </c>
      <c r="P29" s="308">
        <f aca="true" t="shared" si="5" ref="P29:P37">+O29/$O$49</f>
        <v>0</v>
      </c>
      <c r="Q29" s="42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</row>
    <row r="30" spans="1:35" s="388" customFormat="1" ht="12.75">
      <c r="A30" s="157"/>
      <c r="B30" s="157" t="s">
        <v>17</v>
      </c>
      <c r="C30" s="204">
        <v>912665</v>
      </c>
      <c r="D30" s="204">
        <v>814908</v>
      </c>
      <c r="E30" s="204">
        <v>719170</v>
      </c>
      <c r="F30" s="204">
        <v>958294</v>
      </c>
      <c r="G30" s="204">
        <v>858541</v>
      </c>
      <c r="H30" s="204">
        <v>674672</v>
      </c>
      <c r="I30" s="204">
        <v>637067</v>
      </c>
      <c r="J30" s="204">
        <v>481137</v>
      </c>
      <c r="K30" s="204">
        <v>547227</v>
      </c>
      <c r="L30" s="204">
        <v>423498</v>
      </c>
      <c r="M30" s="204">
        <v>681633</v>
      </c>
      <c r="N30" s="204">
        <v>854709</v>
      </c>
      <c r="O30" s="198">
        <f>SUM(C30:N30)</f>
        <v>8563521</v>
      </c>
      <c r="P30" s="308">
        <f t="shared" si="5"/>
        <v>0.11895207087150754</v>
      </c>
      <c r="Q30" s="42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388" customFormat="1" ht="12.75">
      <c r="A31" s="157"/>
      <c r="B31" s="157" t="s">
        <v>18</v>
      </c>
      <c r="C31" s="204">
        <v>808262</v>
      </c>
      <c r="D31" s="204">
        <v>538793</v>
      </c>
      <c r="E31" s="204">
        <v>488565</v>
      </c>
      <c r="F31" s="204">
        <v>834180</v>
      </c>
      <c r="G31" s="204">
        <v>878813</v>
      </c>
      <c r="H31" s="204">
        <v>563921</v>
      </c>
      <c r="I31" s="204">
        <v>509942</v>
      </c>
      <c r="J31" s="204">
        <v>428258</v>
      </c>
      <c r="K31" s="204">
        <v>409603</v>
      </c>
      <c r="L31" s="204">
        <v>612097</v>
      </c>
      <c r="M31" s="204">
        <v>656747</v>
      </c>
      <c r="N31" s="204">
        <v>733525</v>
      </c>
      <c r="O31" s="198">
        <f>SUM(C31:N31)</f>
        <v>7462706</v>
      </c>
      <c r="P31" s="308">
        <f t="shared" si="5"/>
        <v>0.10366113810023056</v>
      </c>
      <c r="Q31" s="42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</row>
    <row r="32" spans="1:35" s="388" customFormat="1" ht="12.75">
      <c r="A32" s="157"/>
      <c r="B32" s="157" t="s">
        <v>19</v>
      </c>
      <c r="C32" s="204">
        <v>739313</v>
      </c>
      <c r="D32" s="204">
        <v>568997</v>
      </c>
      <c r="E32" s="204">
        <v>610352</v>
      </c>
      <c r="F32" s="204">
        <v>788428</v>
      </c>
      <c r="G32" s="204">
        <v>869329</v>
      </c>
      <c r="H32" s="204">
        <v>501356</v>
      </c>
      <c r="I32" s="204">
        <v>427675</v>
      </c>
      <c r="J32" s="204">
        <v>466228</v>
      </c>
      <c r="K32" s="204">
        <v>482974</v>
      </c>
      <c r="L32" s="204">
        <v>539548</v>
      </c>
      <c r="M32" s="204">
        <v>634124</v>
      </c>
      <c r="N32" s="204">
        <v>823417</v>
      </c>
      <c r="O32" s="198">
        <f>SUM(C32:N32)</f>
        <v>7451741</v>
      </c>
      <c r="P32" s="308">
        <f t="shared" si="5"/>
        <v>0.10350882815002362</v>
      </c>
      <c r="Q32" s="435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</row>
    <row r="33" spans="1:35" s="388" customFormat="1" ht="12.75">
      <c r="A33" s="157"/>
      <c r="B33" s="157" t="s">
        <v>105</v>
      </c>
      <c r="C33" s="204">
        <v>916796</v>
      </c>
      <c r="D33" s="204">
        <v>642676</v>
      </c>
      <c r="E33" s="204">
        <v>683977</v>
      </c>
      <c r="F33" s="204">
        <v>724354</v>
      </c>
      <c r="G33" s="204">
        <v>890757</v>
      </c>
      <c r="H33" s="204">
        <v>646193</v>
      </c>
      <c r="I33" s="204">
        <v>358338</v>
      </c>
      <c r="J33" s="204">
        <v>267908</v>
      </c>
      <c r="K33" s="204">
        <v>424665</v>
      </c>
      <c r="L33" s="204">
        <v>441932</v>
      </c>
      <c r="M33" s="204">
        <v>560456</v>
      </c>
      <c r="N33" s="204">
        <v>853830</v>
      </c>
      <c r="O33" s="198">
        <f>SUM(D33:N33)</f>
        <v>6495086</v>
      </c>
      <c r="P33" s="308">
        <f t="shared" si="5"/>
        <v>0.09022035797991695</v>
      </c>
      <c r="Q33" s="42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</row>
    <row r="34" spans="1:35" s="388" customFormat="1" ht="12.75">
      <c r="A34" s="157"/>
      <c r="B34" s="157" t="s">
        <v>104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198">
        <f>SUM(E34:N34)</f>
        <v>0</v>
      </c>
      <c r="P34" s="308">
        <f t="shared" si="5"/>
        <v>0</v>
      </c>
      <c r="Q34" s="42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</row>
    <row r="35" spans="1:35" s="388" customFormat="1" ht="12.75">
      <c r="A35" s="157"/>
      <c r="B35" s="157" t="s">
        <v>21</v>
      </c>
      <c r="C35" s="204">
        <v>1087007</v>
      </c>
      <c r="D35" s="204">
        <v>1104864</v>
      </c>
      <c r="E35" s="204">
        <v>1155319</v>
      </c>
      <c r="F35" s="204">
        <v>1381927</v>
      </c>
      <c r="G35" s="204">
        <v>1364145</v>
      </c>
      <c r="H35" s="204">
        <v>1192585</v>
      </c>
      <c r="I35" s="204">
        <v>860876</v>
      </c>
      <c r="J35" s="204">
        <v>671075</v>
      </c>
      <c r="K35" s="204">
        <v>810523</v>
      </c>
      <c r="L35" s="204">
        <v>1245493</v>
      </c>
      <c r="M35" s="204">
        <v>1469952</v>
      </c>
      <c r="N35" s="204">
        <v>1334542</v>
      </c>
      <c r="O35" s="198">
        <f>SUM(C35:N35)</f>
        <v>13678308</v>
      </c>
      <c r="P35" s="308">
        <f t="shared" si="5"/>
        <v>0.18999930783357785</v>
      </c>
      <c r="Q35" s="435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</row>
    <row r="36" spans="1:35" s="388" customFormat="1" ht="12.75">
      <c r="A36" s="157"/>
      <c r="B36" s="157" t="s">
        <v>22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198">
        <f>SUM(C36:N36)</f>
        <v>0</v>
      </c>
      <c r="P36" s="308">
        <f t="shared" si="5"/>
        <v>0</v>
      </c>
      <c r="Q36" s="435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</row>
    <row r="37" spans="1:35" s="388" customFormat="1" ht="12.75">
      <c r="A37" s="157"/>
      <c r="B37" s="157" t="s">
        <v>24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198">
        <f>SUM(C37:N37)</f>
        <v>0</v>
      </c>
      <c r="P37" s="308">
        <f t="shared" si="5"/>
        <v>0</v>
      </c>
      <c r="Q37" s="42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 s="388" customFormat="1" ht="12.75">
      <c r="A38" s="157"/>
      <c r="B38" s="157" t="s">
        <v>23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198"/>
      <c r="P38" s="308"/>
      <c r="Q38" s="42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</row>
    <row r="39" spans="1:35" s="388" customFormat="1" ht="12.75">
      <c r="A39" s="157"/>
      <c r="B39" s="157" t="s">
        <v>25</v>
      </c>
      <c r="C39" s="204">
        <v>831617</v>
      </c>
      <c r="D39" s="204">
        <v>737048</v>
      </c>
      <c r="E39" s="204">
        <v>718118</v>
      </c>
      <c r="F39" s="204">
        <v>888283</v>
      </c>
      <c r="G39" s="204">
        <v>1007906</v>
      </c>
      <c r="H39" s="204">
        <v>714805</v>
      </c>
      <c r="I39" s="204">
        <v>525382</v>
      </c>
      <c r="J39" s="204">
        <v>332581</v>
      </c>
      <c r="K39" s="204">
        <v>427371</v>
      </c>
      <c r="L39" s="204">
        <v>787170</v>
      </c>
      <c r="M39" s="204">
        <v>628709</v>
      </c>
      <c r="N39" s="204">
        <v>817112</v>
      </c>
      <c r="O39" s="198">
        <f>SUM(C39:N39)</f>
        <v>8416102</v>
      </c>
      <c r="P39" s="308">
        <f>+O39/$O$49</f>
        <v>0.11690433894724335</v>
      </c>
      <c r="Q39" s="42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s="388" customFormat="1" ht="12.75">
      <c r="A40" s="157"/>
      <c r="B40" s="346" t="s">
        <v>26</v>
      </c>
      <c r="C40" s="198">
        <f>SUM(C29:C39)</f>
        <v>5295660</v>
      </c>
      <c r="D40" s="198">
        <f aca="true" t="shared" si="6" ref="D40:P41">SUM(D29:D39)</f>
        <v>4407286</v>
      </c>
      <c r="E40" s="198">
        <f t="shared" si="6"/>
        <v>4375501</v>
      </c>
      <c r="F40" s="198">
        <f>SUM(F29:F39)</f>
        <v>5575466</v>
      </c>
      <c r="G40" s="198">
        <f t="shared" si="6"/>
        <v>5869491</v>
      </c>
      <c r="H40" s="198">
        <f t="shared" si="6"/>
        <v>4293532</v>
      </c>
      <c r="I40" s="198">
        <f t="shared" si="6"/>
        <v>3319280</v>
      </c>
      <c r="J40" s="198">
        <f t="shared" si="6"/>
        <v>2647187</v>
      </c>
      <c r="K40" s="198">
        <f t="shared" si="6"/>
        <v>3102363</v>
      </c>
      <c r="L40" s="198">
        <f t="shared" si="6"/>
        <v>4049738</v>
      </c>
      <c r="M40" s="198">
        <f t="shared" si="6"/>
        <v>4631621</v>
      </c>
      <c r="N40" s="198">
        <f t="shared" si="6"/>
        <v>5417135</v>
      </c>
      <c r="O40" s="198">
        <f t="shared" si="6"/>
        <v>52067464</v>
      </c>
      <c r="P40" s="198">
        <f t="shared" si="6"/>
        <v>0.7232460418824999</v>
      </c>
      <c r="Q40" s="42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</row>
    <row r="41" spans="1:35" s="388" customFormat="1" ht="12.75">
      <c r="A41" s="157"/>
      <c r="B41" s="157" t="s">
        <v>114</v>
      </c>
      <c r="C41" s="198">
        <v>279946</v>
      </c>
      <c r="D41" s="198">
        <v>278676</v>
      </c>
      <c r="E41" s="198">
        <v>226012</v>
      </c>
      <c r="F41" s="198">
        <v>239720</v>
      </c>
      <c r="G41" s="198">
        <v>302533</v>
      </c>
      <c r="H41" s="198">
        <v>201294</v>
      </c>
      <c r="I41" s="198">
        <v>94705</v>
      </c>
      <c r="J41" s="198">
        <v>73679</v>
      </c>
      <c r="K41" s="198">
        <v>149515</v>
      </c>
      <c r="L41" s="198">
        <v>208770</v>
      </c>
      <c r="M41" s="198">
        <v>180851</v>
      </c>
      <c r="N41" s="198">
        <v>315818</v>
      </c>
      <c r="O41" s="198">
        <f t="shared" si="6"/>
        <v>104134928</v>
      </c>
      <c r="P41" s="198">
        <f t="shared" si="6"/>
        <v>1.4464920837649997</v>
      </c>
      <c r="Q41" s="42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 s="388" customFormat="1" ht="12.75">
      <c r="A42" s="157"/>
      <c r="B42" s="157" t="s">
        <v>27</v>
      </c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198">
        <f aca="true" t="shared" si="7" ref="O42:O47">SUM(C42:N42)</f>
        <v>0</v>
      </c>
      <c r="P42" s="308">
        <f aca="true" t="shared" si="8" ref="P42:P47">+O42/$O$49</f>
        <v>0</v>
      </c>
      <c r="Q42" s="42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 s="388" customFormat="1" ht="12.75">
      <c r="A43" s="157"/>
      <c r="B43" s="157" t="s">
        <v>57</v>
      </c>
      <c r="C43" s="204">
        <v>1022102</v>
      </c>
      <c r="D43" s="204">
        <v>955033</v>
      </c>
      <c r="E43" s="204">
        <v>1189815</v>
      </c>
      <c r="F43" s="204">
        <v>1514935</v>
      </c>
      <c r="G43" s="204">
        <v>1466683</v>
      </c>
      <c r="H43" s="204">
        <v>1205266</v>
      </c>
      <c r="I43" s="204">
        <v>752018</v>
      </c>
      <c r="J43" s="204">
        <v>533868</v>
      </c>
      <c r="K43" s="204">
        <v>494156</v>
      </c>
      <c r="L43" s="204">
        <v>897041</v>
      </c>
      <c r="M43" s="204">
        <v>1076751</v>
      </c>
      <c r="N43" s="204">
        <v>1265519</v>
      </c>
      <c r="O43" s="198">
        <f t="shared" si="7"/>
        <v>12373187</v>
      </c>
      <c r="P43" s="308">
        <f t="shared" si="8"/>
        <v>0.17187045105984042</v>
      </c>
      <c r="Q43" s="42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</row>
    <row r="44" spans="1:35" s="388" customFormat="1" ht="12.75">
      <c r="A44" s="157"/>
      <c r="B44" s="157" t="s">
        <v>106</v>
      </c>
      <c r="C44" s="204">
        <v>712548</v>
      </c>
      <c r="D44" s="204">
        <v>602862</v>
      </c>
      <c r="E44" s="204">
        <v>582854</v>
      </c>
      <c r="F44" s="204">
        <v>803986</v>
      </c>
      <c r="G44" s="204">
        <v>730733</v>
      </c>
      <c r="H44" s="204">
        <v>576855</v>
      </c>
      <c r="I44" s="204">
        <v>465165</v>
      </c>
      <c r="J44" s="204">
        <v>405826</v>
      </c>
      <c r="K44" s="204">
        <v>544877</v>
      </c>
      <c r="L44" s="204">
        <v>696911</v>
      </c>
      <c r="M44" s="204">
        <v>614071</v>
      </c>
      <c r="N44" s="204">
        <v>814018</v>
      </c>
      <c r="O44" s="198">
        <f t="shared" si="7"/>
        <v>7550706</v>
      </c>
      <c r="P44" s="308">
        <f t="shared" si="8"/>
        <v>0.10488350705765971</v>
      </c>
      <c r="Q44" s="435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 s="388" customFormat="1" ht="12.75">
      <c r="A45" s="157"/>
      <c r="B45" s="157" t="s">
        <v>115</v>
      </c>
      <c r="C45" s="204">
        <v>476870</v>
      </c>
      <c r="D45" s="204">
        <v>276895</v>
      </c>
      <c r="E45" s="204">
        <v>313320</v>
      </c>
      <c r="F45" s="204">
        <v>458655</v>
      </c>
      <c r="G45" s="204">
        <v>571200</v>
      </c>
      <c r="H45" s="204">
        <v>339561</v>
      </c>
      <c r="I45" s="204">
        <v>307662</v>
      </c>
      <c r="J45" s="204">
        <v>397085</v>
      </c>
      <c r="K45" s="204">
        <v>508836</v>
      </c>
      <c r="L45" s="204">
        <v>492099</v>
      </c>
      <c r="M45" s="204">
        <v>412001</v>
      </c>
      <c r="N45" s="204">
        <v>540660</v>
      </c>
      <c r="O45" s="198">
        <f t="shared" si="7"/>
        <v>5094844</v>
      </c>
      <c r="P45" s="308">
        <f t="shared" si="8"/>
        <v>0.07077021759709294</v>
      </c>
      <c r="Q45" s="435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</row>
    <row r="46" spans="1:35" s="388" customFormat="1" ht="12.75">
      <c r="A46" s="157"/>
      <c r="B46" s="157" t="s">
        <v>116</v>
      </c>
      <c r="C46" s="204">
        <v>514415</v>
      </c>
      <c r="D46" s="204">
        <v>320470</v>
      </c>
      <c r="E46" s="204">
        <v>390760</v>
      </c>
      <c r="F46" s="204">
        <v>573441</v>
      </c>
      <c r="G46" s="204">
        <v>492423</v>
      </c>
      <c r="H46" s="204">
        <v>375970</v>
      </c>
      <c r="I46" s="204">
        <v>302024</v>
      </c>
      <c r="J46" s="204">
        <v>304445</v>
      </c>
      <c r="K46" s="204">
        <v>472133</v>
      </c>
      <c r="L46" s="204">
        <v>474481</v>
      </c>
      <c r="M46" s="204">
        <v>423275</v>
      </c>
      <c r="N46" s="204">
        <v>500034</v>
      </c>
      <c r="O46" s="198">
        <f t="shared" si="7"/>
        <v>5143871</v>
      </c>
      <c r="P46" s="308">
        <f t="shared" si="8"/>
        <v>0.07145122990250066</v>
      </c>
      <c r="Q46" s="435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 s="388" customFormat="1" ht="12.75">
      <c r="A47" s="157"/>
      <c r="B47" s="157" t="s">
        <v>107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198">
        <f t="shared" si="7"/>
        <v>0</v>
      </c>
      <c r="P47" s="308">
        <f t="shared" si="8"/>
        <v>0</v>
      </c>
      <c r="Q47" s="435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 s="388" customFormat="1" ht="12.7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432"/>
      <c r="Q48" s="42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</row>
    <row r="49" spans="1:35" s="388" customFormat="1" ht="12.75">
      <c r="A49" s="157"/>
      <c r="B49" s="196" t="s">
        <v>28</v>
      </c>
      <c r="C49" s="321">
        <f>SUM(C40:C47)</f>
        <v>8301541</v>
      </c>
      <c r="D49" s="321">
        <f aca="true" t="shared" si="9" ref="D49:N49">SUM(D40:D47)</f>
        <v>6841222</v>
      </c>
      <c r="E49" s="321">
        <f t="shared" si="9"/>
        <v>7078262</v>
      </c>
      <c r="F49" s="321">
        <f t="shared" si="9"/>
        <v>9166203</v>
      </c>
      <c r="G49" s="321">
        <f t="shared" si="9"/>
        <v>9433063</v>
      </c>
      <c r="H49" s="321">
        <f t="shared" si="9"/>
        <v>6992478</v>
      </c>
      <c r="I49" s="321">
        <f t="shared" si="9"/>
        <v>5240854</v>
      </c>
      <c r="J49" s="321">
        <f t="shared" si="9"/>
        <v>4362090</v>
      </c>
      <c r="K49" s="321">
        <f t="shared" si="9"/>
        <v>5271880</v>
      </c>
      <c r="L49" s="321">
        <f t="shared" si="9"/>
        <v>6819040</v>
      </c>
      <c r="M49" s="321">
        <f t="shared" si="9"/>
        <v>7338570</v>
      </c>
      <c r="N49" s="321">
        <f t="shared" si="9"/>
        <v>8853184</v>
      </c>
      <c r="O49" s="321">
        <f>+O40+O42+O43+O44+O47</f>
        <v>71991357</v>
      </c>
      <c r="P49" s="322">
        <f>+P40+P42+P43</f>
        <v>0.8951164929423403</v>
      </c>
      <c r="Q49" s="42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 s="388" customFormat="1" ht="13.5" thickBot="1">
      <c r="A50" s="15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5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</row>
    <row r="51" spans="1:35" ht="13.5" thickTop="1">
      <c r="A51" s="123"/>
      <c r="B51" s="121">
        <f ca="1">NOW()</f>
        <v>40948.65149502315</v>
      </c>
      <c r="C51" s="122" t="s">
        <v>58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2.75">
      <c r="A52" s="123"/>
      <c r="B52" s="121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2.75">
      <c r="A53" s="123"/>
      <c r="B53" s="121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2.7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.7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.7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.75">
      <c r="A65" s="23" t="s">
        <v>46</v>
      </c>
      <c r="B65" s="23"/>
      <c r="C65" s="286" t="s">
        <v>47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3"/>
      <c r="P65" s="300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.75">
      <c r="A66" s="23"/>
      <c r="B66" s="23"/>
      <c r="C66" s="287" t="s">
        <v>2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thickBot="1">
      <c r="A67" s="23"/>
      <c r="B67" s="289"/>
      <c r="C67" s="290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>
        <v>1998</v>
      </c>
      <c r="P67" s="289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thickBot="1" thickTop="1">
      <c r="A68" s="23"/>
      <c r="B68" s="293"/>
      <c r="C68" s="294" t="s">
        <v>3</v>
      </c>
      <c r="D68" s="295" t="s">
        <v>4</v>
      </c>
      <c r="E68" s="295" t="s">
        <v>5</v>
      </c>
      <c r="F68" s="295" t="s">
        <v>6</v>
      </c>
      <c r="G68" s="295" t="s">
        <v>7</v>
      </c>
      <c r="H68" s="295" t="s">
        <v>8</v>
      </c>
      <c r="I68" s="295" t="s">
        <v>9</v>
      </c>
      <c r="J68" s="295" t="s">
        <v>10</v>
      </c>
      <c r="K68" s="296" t="s">
        <v>11</v>
      </c>
      <c r="L68" s="295" t="s">
        <v>12</v>
      </c>
      <c r="M68" s="295" t="s">
        <v>13</v>
      </c>
      <c r="N68" s="295" t="s">
        <v>14</v>
      </c>
      <c r="O68" s="301" t="s">
        <v>15</v>
      </c>
      <c r="P68" s="302" t="s">
        <v>16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3.5" thickTop="1">
      <c r="A69" s="23"/>
      <c r="B69" s="392"/>
      <c r="C69" s="393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3"/>
      <c r="P69" s="436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394" t="s">
        <v>42</v>
      </c>
      <c r="C70" s="437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97"/>
      <c r="P70" s="439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398" t="s">
        <v>33</v>
      </c>
      <c r="C71" s="440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397">
        <f>SUM(C71:N71)</f>
        <v>0</v>
      </c>
      <c r="P71" s="439" t="e">
        <f>+O71/$O$95</f>
        <v>#DIV/0!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2.75">
      <c r="A72" s="23"/>
      <c r="B72" s="394" t="s">
        <v>34</v>
      </c>
      <c r="C72" s="440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397">
        <f>SUM(C72:N72)</f>
        <v>0</v>
      </c>
      <c r="P72" s="439" t="e">
        <f>+O72/$O$96</f>
        <v>#DIV/0!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2.75">
      <c r="A73" s="23"/>
      <c r="B73" s="398"/>
      <c r="C73" s="440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397"/>
      <c r="P73" s="439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2.75">
      <c r="A74" s="23"/>
      <c r="B74" s="398" t="s">
        <v>43</v>
      </c>
      <c r="C74" s="440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397"/>
      <c r="P74" s="439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2.75">
      <c r="A75" s="23"/>
      <c r="B75" s="398" t="s">
        <v>33</v>
      </c>
      <c r="C75" s="440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397">
        <f>SUM(C75:N75)</f>
        <v>0</v>
      </c>
      <c r="P75" s="439" t="e">
        <f>+O75/$O$95</f>
        <v>#DIV/0!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2.75">
      <c r="A76" s="23"/>
      <c r="B76" s="394" t="s">
        <v>34</v>
      </c>
      <c r="C76" s="440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397">
        <f>SUM(C76:N76)</f>
        <v>0</v>
      </c>
      <c r="P76" s="439" t="e">
        <f>+O76/$O$96</f>
        <v>#DIV/0!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2.75">
      <c r="A77" s="23"/>
      <c r="B77" s="398"/>
      <c r="C77" s="440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397"/>
      <c r="P77" s="439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2.75">
      <c r="A78" s="23"/>
      <c r="B78" s="394" t="s">
        <v>32</v>
      </c>
      <c r="C78" s="440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397"/>
      <c r="P78" s="4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2.75">
      <c r="A79" s="23"/>
      <c r="B79" s="398" t="s">
        <v>33</v>
      </c>
      <c r="C79" s="440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397">
        <f>SUM(C79:N79)</f>
        <v>0</v>
      </c>
      <c r="P79" s="439" t="e">
        <f>+O79/$O$95</f>
        <v>#DIV/0!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2.75">
      <c r="A80" s="23"/>
      <c r="B80" s="394" t="s">
        <v>34</v>
      </c>
      <c r="C80" s="440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97">
        <f>SUM(C80:N80)</f>
        <v>0</v>
      </c>
      <c r="P80" s="439" t="e">
        <f>+O80/$O$96</f>
        <v>#DIV/0!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2.75">
      <c r="A81" s="23"/>
      <c r="B81" s="398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397"/>
      <c r="P81" s="439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2.75">
      <c r="A82" s="23"/>
      <c r="B82" s="394" t="s">
        <v>44</v>
      </c>
      <c r="C82" s="440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397"/>
      <c r="P82" s="4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2.75">
      <c r="A83" s="23"/>
      <c r="B83" s="398" t="s">
        <v>33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397">
        <f>SUM(C83:N83)</f>
        <v>0</v>
      </c>
      <c r="P83" s="439" t="e">
        <f>+O83/$O$95</f>
        <v>#DIV/0!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2.75">
      <c r="A84" s="23"/>
      <c r="B84" s="394" t="s">
        <v>34</v>
      </c>
      <c r="C84" s="440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397">
        <f>SUM(C84:N84)</f>
        <v>0</v>
      </c>
      <c r="P84" s="439" t="e">
        <f>+O84/$O$96</f>
        <v>#DIV/0!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2.75">
      <c r="A85" s="23"/>
      <c r="B85" s="398"/>
      <c r="C85" s="440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397"/>
      <c r="P85" s="439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2.75">
      <c r="A86" s="23"/>
      <c r="B86" s="400" t="s">
        <v>28</v>
      </c>
      <c r="C86" s="440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97"/>
      <c r="P86" s="43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2.75">
      <c r="A87" s="23"/>
      <c r="B87" s="402" t="s">
        <v>33</v>
      </c>
      <c r="C87" s="414">
        <f aca="true" t="shared" si="10" ref="C87:N87">+C71+C75+C79+C83</f>
        <v>0</v>
      </c>
      <c r="D87" s="442">
        <f t="shared" si="10"/>
        <v>0</v>
      </c>
      <c r="E87" s="442">
        <f t="shared" si="10"/>
        <v>0</v>
      </c>
      <c r="F87" s="442">
        <f t="shared" si="10"/>
        <v>0</v>
      </c>
      <c r="G87" s="442">
        <f t="shared" si="10"/>
        <v>0</v>
      </c>
      <c r="H87" s="442">
        <f t="shared" si="10"/>
        <v>0</v>
      </c>
      <c r="I87" s="442">
        <f t="shared" si="10"/>
        <v>0</v>
      </c>
      <c r="J87" s="442">
        <f t="shared" si="10"/>
        <v>0</v>
      </c>
      <c r="K87" s="442">
        <f t="shared" si="10"/>
        <v>0</v>
      </c>
      <c r="L87" s="442">
        <f t="shared" si="10"/>
        <v>0</v>
      </c>
      <c r="M87" s="442">
        <f t="shared" si="10"/>
        <v>0</v>
      </c>
      <c r="N87" s="442">
        <f t="shared" si="10"/>
        <v>0</v>
      </c>
      <c r="O87" s="405">
        <f>SUM(C87:N87)</f>
        <v>0</v>
      </c>
      <c r="P87" s="443" t="e">
        <f>+P71+P75+P79+P83</f>
        <v>#DIV/0!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2.75">
      <c r="A88" s="23"/>
      <c r="B88" s="406" t="s">
        <v>34</v>
      </c>
      <c r="C88" s="414">
        <f aca="true" t="shared" si="11" ref="C88:N88">+C72+C76+C80+C84</f>
        <v>0</v>
      </c>
      <c r="D88" s="442">
        <f t="shared" si="11"/>
        <v>0</v>
      </c>
      <c r="E88" s="442">
        <f t="shared" si="11"/>
        <v>0</v>
      </c>
      <c r="F88" s="442">
        <f t="shared" si="11"/>
        <v>0</v>
      </c>
      <c r="G88" s="442">
        <f t="shared" si="11"/>
        <v>0</v>
      </c>
      <c r="H88" s="442">
        <f t="shared" si="11"/>
        <v>0</v>
      </c>
      <c r="I88" s="442">
        <f t="shared" si="11"/>
        <v>0</v>
      </c>
      <c r="J88" s="442">
        <f t="shared" si="11"/>
        <v>0</v>
      </c>
      <c r="K88" s="442">
        <f t="shared" si="11"/>
        <v>0</v>
      </c>
      <c r="L88" s="442">
        <f t="shared" si="11"/>
        <v>0</v>
      </c>
      <c r="M88" s="442">
        <f t="shared" si="11"/>
        <v>0</v>
      </c>
      <c r="N88" s="442">
        <f t="shared" si="11"/>
        <v>0</v>
      </c>
      <c r="O88" s="405">
        <f>SUM(C88:N88)</f>
        <v>0</v>
      </c>
      <c r="P88" s="443" t="e">
        <f>+P72+P76+P80+P84</f>
        <v>#DIV/0!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2.75">
      <c r="A89" s="23"/>
      <c r="B89" s="408"/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10"/>
      <c r="P89" s="446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2.75">
      <c r="A90" s="23"/>
      <c r="B90" s="411" t="s">
        <v>27</v>
      </c>
      <c r="C90" s="440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97"/>
      <c r="P90" s="4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2.75">
      <c r="A91" s="23"/>
      <c r="B91" s="398" t="s">
        <v>33</v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97">
        <f>SUM(C91:N91)</f>
        <v>0</v>
      </c>
      <c r="P91" s="439" t="e">
        <f>+O91/$O$95</f>
        <v>#DIV/0!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2.75">
      <c r="A92" s="23"/>
      <c r="B92" s="394" t="s">
        <v>34</v>
      </c>
      <c r="C92" s="440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97">
        <f>SUM(C92:N92)</f>
        <v>0</v>
      </c>
      <c r="P92" s="439" t="e">
        <f>+O92/$O$96</f>
        <v>#DIV/0!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2.75">
      <c r="A93" s="23"/>
      <c r="B93" s="394"/>
      <c r="C93" s="440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97"/>
      <c r="P93" s="439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2.75">
      <c r="A94" s="23"/>
      <c r="B94" s="406" t="s">
        <v>45</v>
      </c>
      <c r="C94" s="440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97"/>
      <c r="P94" s="439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2.75">
      <c r="A95" s="23"/>
      <c r="B95" s="402" t="s">
        <v>33</v>
      </c>
      <c r="C95" s="414">
        <f aca="true" t="shared" si="12" ref="C95:P95">+C87+C91</f>
        <v>0</v>
      </c>
      <c r="D95" s="442">
        <f t="shared" si="12"/>
        <v>0</v>
      </c>
      <c r="E95" s="442">
        <f t="shared" si="12"/>
        <v>0</v>
      </c>
      <c r="F95" s="442">
        <f t="shared" si="12"/>
        <v>0</v>
      </c>
      <c r="G95" s="442">
        <f t="shared" si="12"/>
        <v>0</v>
      </c>
      <c r="H95" s="442">
        <f t="shared" si="12"/>
        <v>0</v>
      </c>
      <c r="I95" s="442">
        <f t="shared" si="12"/>
        <v>0</v>
      </c>
      <c r="J95" s="442">
        <f t="shared" si="12"/>
        <v>0</v>
      </c>
      <c r="K95" s="442">
        <f t="shared" si="12"/>
        <v>0</v>
      </c>
      <c r="L95" s="442">
        <f t="shared" si="12"/>
        <v>0</v>
      </c>
      <c r="M95" s="442">
        <f t="shared" si="12"/>
        <v>0</v>
      </c>
      <c r="N95" s="442">
        <f t="shared" si="12"/>
        <v>0</v>
      </c>
      <c r="O95" s="414">
        <f t="shared" si="12"/>
        <v>0</v>
      </c>
      <c r="P95" s="443" t="e">
        <f t="shared" si="12"/>
        <v>#DIV/0!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2.75">
      <c r="A96" s="23"/>
      <c r="B96" s="406" t="s">
        <v>34</v>
      </c>
      <c r="C96" s="414">
        <f aca="true" t="shared" si="13" ref="C96:P96">+C88+C92</f>
        <v>0</v>
      </c>
      <c r="D96" s="442">
        <f t="shared" si="13"/>
        <v>0</v>
      </c>
      <c r="E96" s="442">
        <f t="shared" si="13"/>
        <v>0</v>
      </c>
      <c r="F96" s="442">
        <f t="shared" si="13"/>
        <v>0</v>
      </c>
      <c r="G96" s="442">
        <f t="shared" si="13"/>
        <v>0</v>
      </c>
      <c r="H96" s="442">
        <f t="shared" si="13"/>
        <v>0</v>
      </c>
      <c r="I96" s="442">
        <f t="shared" si="13"/>
        <v>0</v>
      </c>
      <c r="J96" s="442">
        <f t="shared" si="13"/>
        <v>0</v>
      </c>
      <c r="K96" s="442">
        <f t="shared" si="13"/>
        <v>0</v>
      </c>
      <c r="L96" s="442">
        <f t="shared" si="13"/>
        <v>0</v>
      </c>
      <c r="M96" s="442">
        <f t="shared" si="13"/>
        <v>0</v>
      </c>
      <c r="N96" s="442">
        <f t="shared" si="13"/>
        <v>0</v>
      </c>
      <c r="O96" s="414">
        <f t="shared" si="13"/>
        <v>0</v>
      </c>
      <c r="P96" s="443" t="e">
        <f t="shared" si="13"/>
        <v>#DIV/0!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3.5" thickBot="1">
      <c r="A97" s="23"/>
      <c r="B97" s="2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16"/>
      <c r="P97" s="44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3.5" thickTop="1">
      <c r="A98" s="23"/>
      <c r="B98" s="1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1" t="s">
        <v>30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11"/>
  <sheetViews>
    <sheetView zoomScale="85" zoomScaleNormal="85" zoomScalePageLayoutView="0" workbookViewId="0" topLeftCell="A73">
      <selection activeCell="C101" sqref="C101"/>
    </sheetView>
  </sheetViews>
  <sheetFormatPr defaultColWidth="11.5546875" defaultRowHeight="15"/>
  <cols>
    <col min="1" max="1" width="4.10546875" style="210" customWidth="1"/>
    <col min="2" max="2" width="13.99609375" style="210" customWidth="1"/>
    <col min="3" max="3" width="6.99609375" style="210" customWidth="1"/>
    <col min="4" max="6" width="10.99609375" style="210" bestFit="1" customWidth="1"/>
    <col min="7" max="7" width="7.99609375" style="210" bestFit="1" customWidth="1"/>
    <col min="8" max="8" width="7.77734375" style="210" customWidth="1"/>
    <col min="9" max="9" width="11.88671875" style="210" bestFit="1" customWidth="1"/>
    <col min="10" max="10" width="7.6640625" style="210" customWidth="1"/>
    <col min="11" max="11" width="8.6640625" style="210" customWidth="1"/>
    <col min="12" max="12" width="7.6640625" style="210" customWidth="1"/>
    <col min="13" max="13" width="9.10546875" style="210" customWidth="1"/>
    <col min="14" max="14" width="10.21484375" style="210" customWidth="1"/>
    <col min="15" max="15" width="8.6640625" style="210" customWidth="1"/>
    <col min="16" max="16" width="8.88671875" style="210" customWidth="1"/>
    <col min="17" max="16384" width="11.5546875" style="210" customWidth="1"/>
  </cols>
  <sheetData>
    <row r="1" spans="1:17" s="12" customFormat="1" ht="18">
      <c r="A1" s="23"/>
      <c r="B1" s="209" t="s">
        <v>117</v>
      </c>
      <c r="C1" s="286" t="s">
        <v>118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3"/>
      <c r="P1" s="288"/>
      <c r="Q1" s="23"/>
    </row>
    <row r="2" spans="1:17" s="12" customFormat="1" ht="15">
      <c r="A2" s="23"/>
      <c r="B2" s="23"/>
      <c r="C2" s="287" t="s">
        <v>1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3"/>
      <c r="P2" s="23"/>
      <c r="Q2" s="23"/>
    </row>
    <row r="3" spans="1:20" s="12" customFormat="1" ht="15.75" thickBot="1">
      <c r="A3" s="23"/>
      <c r="B3" s="289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2"/>
      <c r="P3" s="289"/>
      <c r="Q3" s="23"/>
      <c r="T3" s="97"/>
    </row>
    <row r="4" spans="1:18" s="12" customFormat="1" ht="16.5" thickBot="1" thickTop="1">
      <c r="A4" s="23"/>
      <c r="B4" s="293"/>
      <c r="C4" s="294" t="s">
        <v>3</v>
      </c>
      <c r="D4" s="295" t="s">
        <v>4</v>
      </c>
      <c r="E4" s="295" t="s">
        <v>5</v>
      </c>
      <c r="F4" s="295" t="s">
        <v>6</v>
      </c>
      <c r="G4" s="295" t="s">
        <v>7</v>
      </c>
      <c r="H4" s="295" t="s">
        <v>8</v>
      </c>
      <c r="I4" s="295" t="s">
        <v>9</v>
      </c>
      <c r="J4" s="295" t="s">
        <v>10</v>
      </c>
      <c r="K4" s="296" t="s">
        <v>11</v>
      </c>
      <c r="L4" s="296" t="s">
        <v>12</v>
      </c>
      <c r="M4" s="296" t="s">
        <v>13</v>
      </c>
      <c r="N4" s="296" t="s">
        <v>14</v>
      </c>
      <c r="O4" s="296" t="s">
        <v>15</v>
      </c>
      <c r="P4" s="296" t="s">
        <v>16</v>
      </c>
      <c r="Q4" s="23"/>
      <c r="R4" s="287" t="s">
        <v>118</v>
      </c>
    </row>
    <row r="5" spans="1:29" s="256" customFormat="1" ht="15.75" thickTop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324" t="s">
        <v>120</v>
      </c>
      <c r="S5" s="324" t="s">
        <v>121</v>
      </c>
      <c r="T5" s="324" t="s">
        <v>122</v>
      </c>
      <c r="U5" s="324" t="s">
        <v>123</v>
      </c>
      <c r="V5" s="324" t="s">
        <v>124</v>
      </c>
      <c r="W5" s="324" t="s">
        <v>125</v>
      </c>
      <c r="X5" s="324" t="s">
        <v>126</v>
      </c>
      <c r="Y5" s="324" t="s">
        <v>127</v>
      </c>
      <c r="Z5" s="324" t="s">
        <v>128</v>
      </c>
      <c r="AA5" s="324" t="s">
        <v>129</v>
      </c>
      <c r="AB5" s="324" t="s">
        <v>130</v>
      </c>
      <c r="AC5" s="324" t="s">
        <v>131</v>
      </c>
    </row>
    <row r="6" spans="1:29" s="256" customFormat="1" ht="15">
      <c r="A6" s="297"/>
      <c r="B6" s="297" t="s">
        <v>17</v>
      </c>
      <c r="C6" s="325">
        <v>214061</v>
      </c>
      <c r="D6" s="325">
        <v>184332</v>
      </c>
      <c r="E6" s="325">
        <v>180436</v>
      </c>
      <c r="F6" s="325">
        <v>176352</v>
      </c>
      <c r="G6" s="325">
        <v>185324</v>
      </c>
      <c r="H6" s="325">
        <v>159825</v>
      </c>
      <c r="I6" s="325">
        <v>157494</v>
      </c>
      <c r="J6" s="325">
        <v>137728</v>
      </c>
      <c r="K6" s="325">
        <v>129084</v>
      </c>
      <c r="L6" s="325">
        <v>168386</v>
      </c>
      <c r="M6" s="325">
        <v>174238</v>
      </c>
      <c r="N6" s="325">
        <v>213667</v>
      </c>
      <c r="O6" s="326">
        <f aca="true" t="shared" si="0" ref="O6:O14">SUM(C6:N6)</f>
        <v>2080927</v>
      </c>
      <c r="P6" s="327">
        <f aca="true" t="shared" si="1" ref="P6:P15">+O6/$O$19</f>
        <v>0.1016151664955279</v>
      </c>
      <c r="Q6" s="328"/>
      <c r="R6" s="329" t="s">
        <v>132</v>
      </c>
      <c r="S6" s="330">
        <v>347336</v>
      </c>
      <c r="T6" s="330">
        <v>248365</v>
      </c>
      <c r="U6" s="330">
        <v>214061</v>
      </c>
      <c r="V6" s="330">
        <v>201461</v>
      </c>
      <c r="W6" s="330">
        <v>205940</v>
      </c>
      <c r="X6" s="330">
        <v>210426</v>
      </c>
      <c r="Y6" s="330">
        <v>1427589</v>
      </c>
      <c r="Z6" s="330">
        <v>178746</v>
      </c>
      <c r="AA6" s="330">
        <v>140429</v>
      </c>
      <c r="AB6" s="330">
        <v>349623</v>
      </c>
      <c r="AC6" s="330">
        <v>74938</v>
      </c>
    </row>
    <row r="7" spans="1:29" s="256" customFormat="1" ht="15">
      <c r="A7" s="297"/>
      <c r="B7" s="297" t="s">
        <v>18</v>
      </c>
      <c r="C7" s="325">
        <v>210426</v>
      </c>
      <c r="D7" s="325">
        <v>155824</v>
      </c>
      <c r="E7" s="325">
        <v>153780</v>
      </c>
      <c r="F7" s="325">
        <v>160932</v>
      </c>
      <c r="G7" s="325">
        <v>153516</v>
      </c>
      <c r="H7" s="325">
        <v>133121</v>
      </c>
      <c r="I7" s="325">
        <v>123700</v>
      </c>
      <c r="J7" s="325">
        <v>115023</v>
      </c>
      <c r="K7" s="325">
        <v>101920</v>
      </c>
      <c r="L7" s="325">
        <v>134717</v>
      </c>
      <c r="M7" s="325">
        <v>123384</v>
      </c>
      <c r="N7" s="325">
        <v>150151</v>
      </c>
      <c r="O7" s="326">
        <f t="shared" si="0"/>
        <v>1716494</v>
      </c>
      <c r="P7" s="327">
        <f t="shared" si="1"/>
        <v>0.08381928995999123</v>
      </c>
      <c r="Q7" s="328"/>
      <c r="R7" s="329" t="s">
        <v>133</v>
      </c>
      <c r="S7" s="330">
        <v>314646</v>
      </c>
      <c r="T7" s="330">
        <v>214076</v>
      </c>
      <c r="U7" s="330">
        <v>184332</v>
      </c>
      <c r="V7" s="330">
        <v>164248</v>
      </c>
      <c r="W7" s="330">
        <v>176404</v>
      </c>
      <c r="X7" s="330">
        <v>155824</v>
      </c>
      <c r="Y7" s="330">
        <v>1209530</v>
      </c>
      <c r="Z7" s="330">
        <v>131680</v>
      </c>
      <c r="AA7" s="330">
        <v>97036</v>
      </c>
      <c r="AB7" s="330">
        <v>318589</v>
      </c>
      <c r="AC7" s="330">
        <v>116802</v>
      </c>
    </row>
    <row r="8" spans="1:29" s="256" customFormat="1" ht="15">
      <c r="A8" s="297"/>
      <c r="B8" s="297" t="s">
        <v>19</v>
      </c>
      <c r="C8" s="325">
        <v>205940</v>
      </c>
      <c r="D8" s="325">
        <v>176404</v>
      </c>
      <c r="E8" s="325">
        <v>166370</v>
      </c>
      <c r="F8" s="325">
        <v>168676</v>
      </c>
      <c r="G8" s="325">
        <v>190606</v>
      </c>
      <c r="H8" s="325">
        <v>123500</v>
      </c>
      <c r="I8" s="325">
        <v>99520</v>
      </c>
      <c r="J8" s="325">
        <v>108700</v>
      </c>
      <c r="K8" s="325">
        <v>111909</v>
      </c>
      <c r="L8" s="325">
        <v>133586</v>
      </c>
      <c r="M8" s="325">
        <v>123430</v>
      </c>
      <c r="N8" s="325">
        <v>151500</v>
      </c>
      <c r="O8" s="326">
        <f t="shared" si="0"/>
        <v>1760141</v>
      </c>
      <c r="P8" s="327">
        <f t="shared" si="1"/>
        <v>0.08595064640451346</v>
      </c>
      <c r="Q8" s="328"/>
      <c r="R8" s="329" t="s">
        <v>134</v>
      </c>
      <c r="S8" s="330">
        <v>316221</v>
      </c>
      <c r="T8" s="330">
        <v>232681</v>
      </c>
      <c r="U8" s="330">
        <v>180436</v>
      </c>
      <c r="V8" s="330">
        <v>195969</v>
      </c>
      <c r="W8" s="330">
        <v>166370</v>
      </c>
      <c r="X8" s="330">
        <v>153780</v>
      </c>
      <c r="Y8" s="330">
        <v>1245457</v>
      </c>
      <c r="Z8" s="330">
        <v>99126</v>
      </c>
      <c r="AA8" s="330">
        <v>109829</v>
      </c>
      <c r="AB8" s="330">
        <v>333252</v>
      </c>
      <c r="AC8" s="330">
        <v>107754</v>
      </c>
    </row>
    <row r="9" spans="1:29" s="256" customFormat="1" ht="15">
      <c r="A9" s="297"/>
      <c r="B9" s="297" t="s">
        <v>20</v>
      </c>
      <c r="C9" s="325">
        <v>201461</v>
      </c>
      <c r="D9" s="325">
        <v>164248</v>
      </c>
      <c r="E9" s="325">
        <v>195969</v>
      </c>
      <c r="F9" s="325">
        <v>166167</v>
      </c>
      <c r="G9" s="325">
        <v>224613</v>
      </c>
      <c r="H9" s="325">
        <v>173356</v>
      </c>
      <c r="I9" s="325">
        <v>128964</v>
      </c>
      <c r="J9" s="325">
        <v>130507</v>
      </c>
      <c r="K9" s="325">
        <v>143324</v>
      </c>
      <c r="L9" s="325">
        <v>198063</v>
      </c>
      <c r="M9" s="325">
        <v>180177</v>
      </c>
      <c r="N9" s="325">
        <v>198289</v>
      </c>
      <c r="O9" s="326">
        <f t="shared" si="0"/>
        <v>2105138</v>
      </c>
      <c r="P9" s="327">
        <f t="shared" si="1"/>
        <v>0.10279743035967269</v>
      </c>
      <c r="Q9" s="328"/>
      <c r="R9" s="329" t="s">
        <v>135</v>
      </c>
      <c r="S9" s="330">
        <v>316766</v>
      </c>
      <c r="T9" s="330">
        <v>216905</v>
      </c>
      <c r="U9" s="330">
        <v>176352</v>
      </c>
      <c r="V9" s="330">
        <v>166167</v>
      </c>
      <c r="W9" s="330">
        <v>168676</v>
      </c>
      <c r="X9" s="330">
        <v>160932</v>
      </c>
      <c r="Y9" s="330">
        <v>1205798</v>
      </c>
      <c r="Z9" s="330">
        <v>101821</v>
      </c>
      <c r="AA9" s="330">
        <v>114609</v>
      </c>
      <c r="AB9" s="330">
        <v>400044</v>
      </c>
      <c r="AC9" s="330">
        <v>157354</v>
      </c>
    </row>
    <row r="10" spans="1:29" s="256" customFormat="1" ht="15">
      <c r="A10" s="297"/>
      <c r="B10" s="297" t="s">
        <v>21</v>
      </c>
      <c r="C10" s="325">
        <v>347336</v>
      </c>
      <c r="D10" s="325">
        <v>314646</v>
      </c>
      <c r="E10" s="325">
        <v>316221</v>
      </c>
      <c r="F10" s="325">
        <v>316766</v>
      </c>
      <c r="G10" s="325">
        <v>334496</v>
      </c>
      <c r="H10" s="325">
        <v>254394</v>
      </c>
      <c r="I10" s="325">
        <v>209586</v>
      </c>
      <c r="J10" s="325">
        <v>170090</v>
      </c>
      <c r="K10" s="325">
        <v>165683</v>
      </c>
      <c r="L10" s="325">
        <v>265095</v>
      </c>
      <c r="M10" s="325">
        <v>267181</v>
      </c>
      <c r="N10" s="325">
        <v>299913</v>
      </c>
      <c r="O10" s="326">
        <f t="shared" si="0"/>
        <v>3261407</v>
      </c>
      <c r="P10" s="327">
        <f t="shared" si="1"/>
        <v>0.1592599910110639</v>
      </c>
      <c r="Q10" s="328"/>
      <c r="R10" s="329" t="s">
        <v>136</v>
      </c>
      <c r="S10" s="330">
        <v>334496</v>
      </c>
      <c r="T10" s="330">
        <v>211458</v>
      </c>
      <c r="U10" s="330">
        <v>185324</v>
      </c>
      <c r="V10" s="330">
        <v>224613</v>
      </c>
      <c r="W10" s="330">
        <v>190606</v>
      </c>
      <c r="X10" s="330">
        <v>153516</v>
      </c>
      <c r="Y10" s="330">
        <v>1300013</v>
      </c>
      <c r="Z10" s="330">
        <v>104066</v>
      </c>
      <c r="AA10" s="330">
        <v>124657</v>
      </c>
      <c r="AB10" s="330">
        <v>392216</v>
      </c>
      <c r="AC10" s="330">
        <v>157893</v>
      </c>
    </row>
    <row r="11" spans="1:29" s="256" customFormat="1" ht="15">
      <c r="A11" s="297"/>
      <c r="B11" s="297" t="s">
        <v>22</v>
      </c>
      <c r="C11" s="325">
        <v>140429</v>
      </c>
      <c r="D11" s="325">
        <v>97036</v>
      </c>
      <c r="E11" s="325">
        <v>109829</v>
      </c>
      <c r="F11" s="325">
        <v>114609</v>
      </c>
      <c r="G11" s="325">
        <v>124657</v>
      </c>
      <c r="H11" s="325">
        <v>111558</v>
      </c>
      <c r="I11" s="325">
        <v>86481</v>
      </c>
      <c r="J11" s="325">
        <v>80461</v>
      </c>
      <c r="K11" s="325">
        <v>91724</v>
      </c>
      <c r="L11" s="325">
        <v>119142</v>
      </c>
      <c r="M11" s="325">
        <v>74725</v>
      </c>
      <c r="N11" s="325">
        <v>90839</v>
      </c>
      <c r="O11" s="326">
        <f t="shared" si="0"/>
        <v>1241490</v>
      </c>
      <c r="P11" s="327">
        <f t="shared" si="1"/>
        <v>0.06062404546268703</v>
      </c>
      <c r="Q11" s="328"/>
      <c r="R11" s="329" t="s">
        <v>137</v>
      </c>
      <c r="S11" s="330">
        <v>254394</v>
      </c>
      <c r="T11" s="330">
        <v>170803</v>
      </c>
      <c r="U11" s="330">
        <v>159825</v>
      </c>
      <c r="V11" s="330">
        <v>173356</v>
      </c>
      <c r="W11" s="330">
        <v>123500</v>
      </c>
      <c r="X11" s="330">
        <v>133121</v>
      </c>
      <c r="Y11" s="330">
        <v>1014999</v>
      </c>
      <c r="Z11" s="330">
        <v>82492</v>
      </c>
      <c r="AA11" s="330">
        <v>111558</v>
      </c>
      <c r="AB11" s="330">
        <v>326296</v>
      </c>
      <c r="AC11" s="330">
        <v>122255</v>
      </c>
    </row>
    <row r="12" spans="1:29" s="256" customFormat="1" ht="15">
      <c r="A12" s="297"/>
      <c r="B12" s="297" t="s">
        <v>23</v>
      </c>
      <c r="C12" s="325">
        <v>74938</v>
      </c>
      <c r="D12" s="325">
        <v>116802</v>
      </c>
      <c r="E12" s="325">
        <v>107754</v>
      </c>
      <c r="F12" s="325">
        <v>157354</v>
      </c>
      <c r="G12" s="325">
        <v>157893</v>
      </c>
      <c r="H12" s="325">
        <v>122255</v>
      </c>
      <c r="I12" s="325">
        <v>108970</v>
      </c>
      <c r="J12" s="325">
        <v>103352</v>
      </c>
      <c r="K12" s="325">
        <v>88609</v>
      </c>
      <c r="L12" s="325">
        <v>131731</v>
      </c>
      <c r="M12" s="325">
        <v>124356</v>
      </c>
      <c r="N12" s="325">
        <v>147051</v>
      </c>
      <c r="O12" s="326">
        <f t="shared" si="0"/>
        <v>1441065</v>
      </c>
      <c r="P12" s="327">
        <f t="shared" si="1"/>
        <v>0.07036962849051308</v>
      </c>
      <c r="Q12" s="328"/>
      <c r="R12" s="329" t="s">
        <v>138</v>
      </c>
      <c r="S12" s="330">
        <v>209586</v>
      </c>
      <c r="T12" s="330">
        <v>131241</v>
      </c>
      <c r="U12" s="330">
        <v>157494</v>
      </c>
      <c r="V12" s="330">
        <v>128964</v>
      </c>
      <c r="W12" s="330">
        <v>99520</v>
      </c>
      <c r="X12" s="330">
        <v>123700</v>
      </c>
      <c r="Y12" s="330">
        <v>850505</v>
      </c>
      <c r="Z12" s="330">
        <v>69299</v>
      </c>
      <c r="AA12" s="330">
        <v>86481</v>
      </c>
      <c r="AB12" s="330">
        <v>284693</v>
      </c>
      <c r="AC12" s="330">
        <v>108970</v>
      </c>
    </row>
    <row r="13" spans="1:29" s="256" customFormat="1" ht="15">
      <c r="A13" s="297"/>
      <c r="B13" s="297" t="s">
        <v>24</v>
      </c>
      <c r="C13" s="325">
        <v>178746</v>
      </c>
      <c r="D13" s="325">
        <v>131680</v>
      </c>
      <c r="E13" s="325">
        <v>99126</v>
      </c>
      <c r="F13" s="325">
        <v>101821</v>
      </c>
      <c r="G13" s="325">
        <v>104066</v>
      </c>
      <c r="H13" s="325">
        <v>82492</v>
      </c>
      <c r="I13" s="325">
        <v>69299</v>
      </c>
      <c r="J13" s="325">
        <v>69834</v>
      </c>
      <c r="K13" s="325">
        <v>97015</v>
      </c>
      <c r="L13" s="325">
        <v>116006</v>
      </c>
      <c r="M13" s="325">
        <v>74994</v>
      </c>
      <c r="N13" s="325">
        <v>84572</v>
      </c>
      <c r="O13" s="326">
        <f t="shared" si="0"/>
        <v>1209651</v>
      </c>
      <c r="P13" s="327">
        <f t="shared" si="1"/>
        <v>0.059069293524704046</v>
      </c>
      <c r="Q13" s="328"/>
      <c r="R13" s="329" t="s">
        <v>139</v>
      </c>
      <c r="S13" s="330">
        <v>170090</v>
      </c>
      <c r="T13" s="330">
        <v>92433</v>
      </c>
      <c r="U13" s="330">
        <v>137728</v>
      </c>
      <c r="V13" s="330">
        <v>130507</v>
      </c>
      <c r="W13" s="330">
        <v>108700</v>
      </c>
      <c r="X13" s="330">
        <v>115023</v>
      </c>
      <c r="Y13" s="330">
        <v>754481</v>
      </c>
      <c r="Z13" s="330">
        <v>69834</v>
      </c>
      <c r="AA13" s="330">
        <v>80461</v>
      </c>
      <c r="AB13" s="330">
        <v>212006</v>
      </c>
      <c r="AC13" s="330">
        <v>103352</v>
      </c>
    </row>
    <row r="14" spans="1:29" s="256" customFormat="1" ht="15">
      <c r="A14" s="297"/>
      <c r="B14" s="297" t="s">
        <v>25</v>
      </c>
      <c r="C14" s="325">
        <v>248365</v>
      </c>
      <c r="D14" s="325">
        <v>214076</v>
      </c>
      <c r="E14" s="325">
        <v>232681</v>
      </c>
      <c r="F14" s="325">
        <v>216905</v>
      </c>
      <c r="G14" s="325">
        <v>213658</v>
      </c>
      <c r="H14" s="325">
        <v>170803</v>
      </c>
      <c r="I14" s="325">
        <v>131241</v>
      </c>
      <c r="J14" s="325">
        <v>92433</v>
      </c>
      <c r="K14" s="325">
        <v>93341</v>
      </c>
      <c r="L14" s="325">
        <v>126254</v>
      </c>
      <c r="M14" s="325">
        <v>107279</v>
      </c>
      <c r="N14" s="325">
        <v>153540</v>
      </c>
      <c r="O14" s="326">
        <f t="shared" si="0"/>
        <v>2000576</v>
      </c>
      <c r="P14" s="327">
        <f t="shared" si="1"/>
        <v>0.09769149197783354</v>
      </c>
      <c r="Q14" s="328"/>
      <c r="R14" s="329" t="s">
        <v>140</v>
      </c>
      <c r="S14" s="330">
        <v>165683</v>
      </c>
      <c r="T14" s="330">
        <v>93341</v>
      </c>
      <c r="U14" s="330">
        <v>129084</v>
      </c>
      <c r="V14" s="330">
        <v>143324</v>
      </c>
      <c r="W14" s="330">
        <v>111909</v>
      </c>
      <c r="X14" s="330">
        <v>101920</v>
      </c>
      <c r="Y14" s="330">
        <v>745261</v>
      </c>
      <c r="Z14" s="330">
        <v>97015</v>
      </c>
      <c r="AA14" s="330">
        <v>91724</v>
      </c>
      <c r="AB14" s="330">
        <v>176596</v>
      </c>
      <c r="AC14" s="330">
        <v>88609</v>
      </c>
    </row>
    <row r="15" spans="1:66" s="336" customFormat="1" ht="15">
      <c r="A15" s="331"/>
      <c r="B15" s="332" t="s">
        <v>26</v>
      </c>
      <c r="C15" s="333">
        <f aca="true" t="shared" si="2" ref="C15:O15">SUM(C6:C14)</f>
        <v>1821702</v>
      </c>
      <c r="D15" s="333">
        <f t="shared" si="2"/>
        <v>1555048</v>
      </c>
      <c r="E15" s="333">
        <f t="shared" si="2"/>
        <v>1562166</v>
      </c>
      <c r="F15" s="333">
        <f t="shared" si="2"/>
        <v>1579582</v>
      </c>
      <c r="G15" s="333">
        <f t="shared" si="2"/>
        <v>1688829</v>
      </c>
      <c r="H15" s="333">
        <f t="shared" si="2"/>
        <v>1331304</v>
      </c>
      <c r="I15" s="333">
        <f t="shared" si="2"/>
        <v>1115255</v>
      </c>
      <c r="J15" s="333">
        <f t="shared" si="2"/>
        <v>1008128</v>
      </c>
      <c r="K15" s="333">
        <f t="shared" si="2"/>
        <v>1022609</v>
      </c>
      <c r="L15" s="333">
        <f t="shared" si="2"/>
        <v>1392980</v>
      </c>
      <c r="M15" s="333">
        <f t="shared" si="2"/>
        <v>1249764</v>
      </c>
      <c r="N15" s="333">
        <f t="shared" si="2"/>
        <v>1489522</v>
      </c>
      <c r="O15" s="333">
        <f t="shared" si="2"/>
        <v>16816889</v>
      </c>
      <c r="P15" s="334">
        <f t="shared" si="1"/>
        <v>0.8211969836865068</v>
      </c>
      <c r="Q15" s="335"/>
      <c r="R15" s="329" t="s">
        <v>141</v>
      </c>
      <c r="S15" s="330">
        <v>265095</v>
      </c>
      <c r="T15" s="330">
        <v>126254</v>
      </c>
      <c r="U15" s="330">
        <v>168386</v>
      </c>
      <c r="V15" s="330">
        <v>198063</v>
      </c>
      <c r="W15" s="330">
        <v>133586</v>
      </c>
      <c r="X15" s="330">
        <v>134717</v>
      </c>
      <c r="Y15" s="330">
        <v>1026101</v>
      </c>
      <c r="Z15" s="330">
        <v>116006</v>
      </c>
      <c r="AA15" s="330">
        <v>119142</v>
      </c>
      <c r="AB15" s="330">
        <v>272288</v>
      </c>
      <c r="AC15" s="330">
        <v>131731</v>
      </c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</row>
    <row r="16" spans="1:66" s="336" customFormat="1" ht="15">
      <c r="A16" s="331"/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7"/>
      <c r="P16" s="334"/>
      <c r="Q16" s="335"/>
      <c r="R16" s="329" t="s">
        <v>142</v>
      </c>
      <c r="S16" s="330">
        <v>267181</v>
      </c>
      <c r="T16" s="330">
        <v>104880</v>
      </c>
      <c r="U16" s="330">
        <v>174238</v>
      </c>
      <c r="V16" s="330">
        <v>180177</v>
      </c>
      <c r="W16" s="330">
        <v>123430</v>
      </c>
      <c r="X16" s="330">
        <v>123384</v>
      </c>
      <c r="Y16" s="330">
        <v>973290</v>
      </c>
      <c r="Z16" s="330">
        <v>74994</v>
      </c>
      <c r="AA16" s="330">
        <v>74725</v>
      </c>
      <c r="AB16" s="330">
        <v>305655</v>
      </c>
      <c r="AC16" s="330">
        <v>124356</v>
      </c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</row>
    <row r="17" spans="1:29" s="256" customFormat="1" ht="15">
      <c r="A17" s="297"/>
      <c r="B17" s="297" t="s">
        <v>27</v>
      </c>
      <c r="C17" s="325">
        <v>349623</v>
      </c>
      <c r="D17" s="325">
        <v>318589</v>
      </c>
      <c r="E17" s="325">
        <v>333252</v>
      </c>
      <c r="F17" s="325">
        <v>400044</v>
      </c>
      <c r="G17" s="325">
        <v>392216</v>
      </c>
      <c r="H17" s="325">
        <v>326296</v>
      </c>
      <c r="I17" s="325">
        <v>284693</v>
      </c>
      <c r="J17" s="325">
        <v>212006</v>
      </c>
      <c r="K17" s="325">
        <v>176596</v>
      </c>
      <c r="L17" s="325">
        <v>272288</v>
      </c>
      <c r="M17" s="325">
        <v>305655</v>
      </c>
      <c r="N17" s="325">
        <v>290361</v>
      </c>
      <c r="O17" s="326">
        <f>SUM(C17:N17)</f>
        <v>3661619</v>
      </c>
      <c r="P17" s="327"/>
      <c r="Q17" s="328"/>
      <c r="R17" s="329" t="s">
        <v>143</v>
      </c>
      <c r="S17" s="330">
        <v>299913</v>
      </c>
      <c r="T17" s="330">
        <v>153540</v>
      </c>
      <c r="U17" s="330">
        <v>213667</v>
      </c>
      <c r="V17" s="330">
        <v>198289</v>
      </c>
      <c r="W17" s="330">
        <v>151500</v>
      </c>
      <c r="X17" s="330">
        <v>150151</v>
      </c>
      <c r="Y17" s="330">
        <v>1167060</v>
      </c>
      <c r="Z17" s="330">
        <v>84572</v>
      </c>
      <c r="AA17" s="330">
        <v>90839</v>
      </c>
      <c r="AB17" s="330">
        <v>290361</v>
      </c>
      <c r="AC17" s="330">
        <v>147051</v>
      </c>
    </row>
    <row r="18" spans="1:29" s="256" customFormat="1" ht="15">
      <c r="A18" s="297"/>
      <c r="B18" s="29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6"/>
      <c r="P18" s="338"/>
      <c r="Q18" s="328"/>
      <c r="R18" s="329" t="s">
        <v>28</v>
      </c>
      <c r="S18" s="330">
        <v>3261407</v>
      </c>
      <c r="T18" s="330">
        <v>1995977</v>
      </c>
      <c r="U18" s="330">
        <v>2080927</v>
      </c>
      <c r="V18" s="330">
        <v>2105138</v>
      </c>
      <c r="W18" s="330">
        <v>1760141</v>
      </c>
      <c r="X18" s="330">
        <v>1716494</v>
      </c>
      <c r="Y18" s="330">
        <v>12920084</v>
      </c>
      <c r="Z18" s="330">
        <v>1209651</v>
      </c>
      <c r="AA18" s="330">
        <v>1241490</v>
      </c>
      <c r="AB18" s="330">
        <v>3661619</v>
      </c>
      <c r="AC18" s="330">
        <v>1441065</v>
      </c>
    </row>
    <row r="19" spans="1:17" s="54" customFormat="1" ht="15">
      <c r="A19" s="297"/>
      <c r="B19" s="339" t="s">
        <v>28</v>
      </c>
      <c r="C19" s="340">
        <f aca="true" t="shared" si="3" ref="C19:P19">+C15+C17</f>
        <v>2171325</v>
      </c>
      <c r="D19" s="340">
        <f t="shared" si="3"/>
        <v>1873637</v>
      </c>
      <c r="E19" s="340">
        <f t="shared" si="3"/>
        <v>1895418</v>
      </c>
      <c r="F19" s="340">
        <f t="shared" si="3"/>
        <v>1979626</v>
      </c>
      <c r="G19" s="340">
        <f t="shared" si="3"/>
        <v>2081045</v>
      </c>
      <c r="H19" s="340">
        <f t="shared" si="3"/>
        <v>1657600</v>
      </c>
      <c r="I19" s="340">
        <f t="shared" si="3"/>
        <v>1399948</v>
      </c>
      <c r="J19" s="340">
        <f t="shared" si="3"/>
        <v>1220134</v>
      </c>
      <c r="K19" s="340">
        <f t="shared" si="3"/>
        <v>1199205</v>
      </c>
      <c r="L19" s="340">
        <f t="shared" si="3"/>
        <v>1665268</v>
      </c>
      <c r="M19" s="340">
        <f t="shared" si="3"/>
        <v>1555419</v>
      </c>
      <c r="N19" s="340">
        <f t="shared" si="3"/>
        <v>1779883</v>
      </c>
      <c r="O19" s="340">
        <f>+O15+O17</f>
        <v>20478508</v>
      </c>
      <c r="P19" s="341">
        <f t="shared" si="3"/>
        <v>0.8211969836865068</v>
      </c>
      <c r="Q19" s="328"/>
    </row>
    <row r="20" spans="1:17" s="54" customFormat="1" ht="15">
      <c r="A20" s="297"/>
      <c r="B20" s="342" t="s">
        <v>50</v>
      </c>
      <c r="C20" s="343">
        <f>C19</f>
        <v>2171325</v>
      </c>
      <c r="D20" s="343">
        <f aca="true" t="shared" si="4" ref="D20:O20">C20+D19</f>
        <v>4044962</v>
      </c>
      <c r="E20" s="343">
        <f t="shared" si="4"/>
        <v>5940380</v>
      </c>
      <c r="F20" s="343">
        <f t="shared" si="4"/>
        <v>7920006</v>
      </c>
      <c r="G20" s="343">
        <f t="shared" si="4"/>
        <v>10001051</v>
      </c>
      <c r="H20" s="343">
        <f t="shared" si="4"/>
        <v>11658651</v>
      </c>
      <c r="I20" s="343">
        <f t="shared" si="4"/>
        <v>13058599</v>
      </c>
      <c r="J20" s="343">
        <f t="shared" si="4"/>
        <v>14278733</v>
      </c>
      <c r="K20" s="343">
        <f t="shared" si="4"/>
        <v>15477938</v>
      </c>
      <c r="L20" s="343">
        <f t="shared" si="4"/>
        <v>17143206</v>
      </c>
      <c r="M20" s="343">
        <f t="shared" si="4"/>
        <v>18698625</v>
      </c>
      <c r="N20" s="343">
        <f t="shared" si="4"/>
        <v>20478508</v>
      </c>
      <c r="O20" s="343">
        <f t="shared" si="4"/>
        <v>40957016</v>
      </c>
      <c r="P20" s="341"/>
      <c r="Q20" s="328"/>
    </row>
    <row r="21" spans="1:17" s="54" customFormat="1" ht="15.75" thickBot="1">
      <c r="A21" s="297"/>
      <c r="B21" s="289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289"/>
      <c r="Q21" s="297"/>
    </row>
    <row r="22" spans="1:17" s="12" customFormat="1" ht="15.75" thickTop="1">
      <c r="A22" s="23"/>
      <c r="B22" s="2">
        <f ca="1">NOW()</f>
        <v>40948.65149502315</v>
      </c>
      <c r="C22" s="1" t="s">
        <v>63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2" customFormat="1" ht="15">
      <c r="A23" s="1" t="s">
        <v>30</v>
      </c>
      <c r="B23" s="1"/>
      <c r="C23" s="23"/>
      <c r="D23" s="23"/>
      <c r="E23" s="23"/>
      <c r="F23" s="23"/>
      <c r="G23" s="23"/>
      <c r="H23" s="298"/>
      <c r="I23" s="23"/>
      <c r="J23" s="23"/>
      <c r="K23" s="23"/>
      <c r="L23" s="23"/>
      <c r="M23" s="23"/>
      <c r="N23" s="23"/>
      <c r="O23" s="23"/>
      <c r="P23" s="1" t="s">
        <v>30</v>
      </c>
      <c r="Q23" s="1"/>
    </row>
    <row r="24" spans="1:17" s="12" customFormat="1" ht="15">
      <c r="A24" s="23"/>
      <c r="B24" s="23"/>
      <c r="C24" s="299"/>
      <c r="D24" s="299"/>
      <c r="E24" s="299"/>
      <c r="F24" s="29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2" customFormat="1" ht="15">
      <c r="A25" s="23"/>
      <c r="B25" s="23"/>
      <c r="C25" s="286" t="s">
        <v>119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3"/>
      <c r="P25" s="300"/>
      <c r="Q25" s="1" t="s">
        <v>30</v>
      </c>
    </row>
    <row r="26" spans="1:17" s="12" customFormat="1" ht="15">
      <c r="A26" s="23"/>
      <c r="B26" s="23"/>
      <c r="C26" s="287" t="s">
        <v>1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3"/>
      <c r="P26" s="23"/>
      <c r="Q26" s="23"/>
    </row>
    <row r="27" spans="1:17" s="12" customFormat="1" ht="15.75" thickBot="1">
      <c r="A27" s="23"/>
      <c r="B27" s="289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2">
        <v>2007</v>
      </c>
      <c r="P27" s="289"/>
      <c r="Q27" s="23"/>
    </row>
    <row r="28" spans="1:19" s="12" customFormat="1" ht="16.5" thickBot="1" thickTop="1">
      <c r="A28" s="23"/>
      <c r="B28" s="293"/>
      <c r="C28" s="294" t="s">
        <v>3</v>
      </c>
      <c r="D28" s="295" t="s">
        <v>4</v>
      </c>
      <c r="E28" s="295" t="s">
        <v>5</v>
      </c>
      <c r="F28" s="295" t="s">
        <v>6</v>
      </c>
      <c r="G28" s="295" t="s">
        <v>7</v>
      </c>
      <c r="H28" s="295" t="s">
        <v>8</v>
      </c>
      <c r="I28" s="295" t="s">
        <v>9</v>
      </c>
      <c r="J28" s="295" t="s">
        <v>10</v>
      </c>
      <c r="K28" s="296" t="s">
        <v>11</v>
      </c>
      <c r="L28" s="295" t="s">
        <v>12</v>
      </c>
      <c r="M28" s="295" t="s">
        <v>13</v>
      </c>
      <c r="N28" s="295" t="s">
        <v>14</v>
      </c>
      <c r="O28" s="301" t="s">
        <v>15</v>
      </c>
      <c r="P28" s="302" t="s">
        <v>16</v>
      </c>
      <c r="Q28" s="23"/>
      <c r="S28" s="287" t="s">
        <v>119</v>
      </c>
    </row>
    <row r="29" spans="1:30" s="256" customFormat="1" ht="15.75" thickTop="1">
      <c r="A29" s="297"/>
      <c r="B29" s="297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6">
        <f>SUM(C29:N29)</f>
        <v>0</v>
      </c>
      <c r="P29" s="327">
        <f aca="true" t="shared" si="5" ref="P29:P40">+O29/$O$49</f>
        <v>0</v>
      </c>
      <c r="Q29" s="328"/>
      <c r="R29" s="350"/>
      <c r="S29" s="351" t="s">
        <v>144</v>
      </c>
      <c r="T29" s="351" t="s">
        <v>122</v>
      </c>
      <c r="U29" s="351" t="s">
        <v>123</v>
      </c>
      <c r="V29" s="351" t="s">
        <v>124</v>
      </c>
      <c r="W29" s="351" t="s">
        <v>125</v>
      </c>
      <c r="X29" s="351" t="s">
        <v>126</v>
      </c>
      <c r="Y29" s="351" t="s">
        <v>145</v>
      </c>
      <c r="Z29" s="351" t="s">
        <v>146</v>
      </c>
      <c r="AA29" s="351" t="s">
        <v>147</v>
      </c>
      <c r="AB29" s="351" t="s">
        <v>148</v>
      </c>
      <c r="AC29" s="351" t="s">
        <v>24</v>
      </c>
      <c r="AD29" s="351" t="s">
        <v>22</v>
      </c>
    </row>
    <row r="30" spans="1:30" s="256" customFormat="1" ht="15">
      <c r="A30" s="297"/>
      <c r="B30" s="297" t="s">
        <v>17</v>
      </c>
      <c r="C30" s="352">
        <v>982116</v>
      </c>
      <c r="D30" s="352">
        <v>821602</v>
      </c>
      <c r="E30" s="352">
        <v>810276</v>
      </c>
      <c r="F30" s="353">
        <v>786635</v>
      </c>
      <c r="G30" s="352">
        <v>842673</v>
      </c>
      <c r="H30" s="352">
        <v>714180</v>
      </c>
      <c r="I30" s="352">
        <v>642413</v>
      </c>
      <c r="J30" s="353">
        <v>568797</v>
      </c>
      <c r="K30" s="353">
        <v>551364</v>
      </c>
      <c r="L30" s="353">
        <v>734972</v>
      </c>
      <c r="M30" s="352">
        <v>791635</v>
      </c>
      <c r="N30" s="352">
        <v>962669</v>
      </c>
      <c r="O30" s="326">
        <f>SUM(C30:N30)</f>
        <v>9209332</v>
      </c>
      <c r="P30" s="327">
        <f t="shared" si="5"/>
        <v>0.10592978724385634</v>
      </c>
      <c r="Q30" s="328"/>
      <c r="R30" s="354" t="s">
        <v>132</v>
      </c>
      <c r="S30" s="355">
        <v>1542878</v>
      </c>
      <c r="T30" s="355">
        <v>1122912</v>
      </c>
      <c r="U30" s="355">
        <v>982116</v>
      </c>
      <c r="V30" s="355">
        <v>680897</v>
      </c>
      <c r="W30" s="355">
        <v>893279</v>
      </c>
      <c r="X30" s="355">
        <v>917825</v>
      </c>
      <c r="Y30" s="355">
        <v>6139907</v>
      </c>
      <c r="Z30" s="355">
        <v>292498</v>
      </c>
      <c r="AA30" s="356">
        <v>1506167</v>
      </c>
      <c r="AB30" s="356">
        <v>647848</v>
      </c>
      <c r="AC30" s="356">
        <v>791730</v>
      </c>
      <c r="AD30" s="356">
        <v>361052</v>
      </c>
    </row>
    <row r="31" spans="1:30" s="256" customFormat="1" ht="15">
      <c r="A31" s="297"/>
      <c r="B31" s="297" t="s">
        <v>18</v>
      </c>
      <c r="C31" s="352">
        <v>917825</v>
      </c>
      <c r="D31" s="353">
        <v>668284</v>
      </c>
      <c r="E31" s="352">
        <v>654351</v>
      </c>
      <c r="F31" s="353">
        <v>697195</v>
      </c>
      <c r="G31" s="352">
        <v>660397</v>
      </c>
      <c r="H31" s="352">
        <v>561936</v>
      </c>
      <c r="I31" s="352">
        <v>501012</v>
      </c>
      <c r="J31" s="353">
        <v>460322</v>
      </c>
      <c r="K31" s="353">
        <v>410098</v>
      </c>
      <c r="L31" s="352">
        <v>545393</v>
      </c>
      <c r="M31" s="352">
        <v>511874</v>
      </c>
      <c r="N31" s="352">
        <v>622481</v>
      </c>
      <c r="O31" s="326">
        <f>SUM(C31:N31)</f>
        <v>7211168</v>
      </c>
      <c r="P31" s="327">
        <f t="shared" si="5"/>
        <v>0.08294602605484361</v>
      </c>
      <c r="Q31" s="328"/>
      <c r="R31" s="354" t="s">
        <v>133</v>
      </c>
      <c r="S31" s="356">
        <v>1349175</v>
      </c>
      <c r="T31" s="355">
        <v>977900</v>
      </c>
      <c r="U31" s="355">
        <v>821602</v>
      </c>
      <c r="V31" s="356">
        <v>584836</v>
      </c>
      <c r="W31" s="356">
        <v>701729</v>
      </c>
      <c r="X31" s="356">
        <v>668284</v>
      </c>
      <c r="Y31" s="355">
        <v>5103526</v>
      </c>
      <c r="Z31" s="355">
        <v>234499</v>
      </c>
      <c r="AA31" s="356">
        <v>1383237</v>
      </c>
      <c r="AB31" s="356">
        <v>539203</v>
      </c>
      <c r="AC31" s="356">
        <v>532710</v>
      </c>
      <c r="AD31" s="356">
        <v>280266</v>
      </c>
    </row>
    <row r="32" spans="1:30" s="256" customFormat="1" ht="15">
      <c r="A32" s="297"/>
      <c r="B32" s="297" t="s">
        <v>19</v>
      </c>
      <c r="C32" s="352">
        <v>893279</v>
      </c>
      <c r="D32" s="353">
        <v>701729</v>
      </c>
      <c r="E32" s="352">
        <v>676639</v>
      </c>
      <c r="F32" s="353">
        <v>730929</v>
      </c>
      <c r="G32" s="352">
        <v>835835</v>
      </c>
      <c r="H32" s="352">
        <v>513436</v>
      </c>
      <c r="I32" s="352">
        <v>408349</v>
      </c>
      <c r="J32" s="353">
        <v>438557</v>
      </c>
      <c r="K32" s="353">
        <v>459060</v>
      </c>
      <c r="L32" s="353">
        <v>563592</v>
      </c>
      <c r="M32" s="352">
        <v>539369</v>
      </c>
      <c r="N32" s="352">
        <v>648971</v>
      </c>
      <c r="O32" s="326">
        <f>SUM(C32:N32)</f>
        <v>7409745</v>
      </c>
      <c r="P32" s="327">
        <f t="shared" si="5"/>
        <v>0.08523014604981428</v>
      </c>
      <c r="Q32" s="297"/>
      <c r="R32" s="354" t="s">
        <v>134</v>
      </c>
      <c r="S32" s="356">
        <v>1319700</v>
      </c>
      <c r="T32" s="355">
        <v>1019441</v>
      </c>
      <c r="U32" s="355">
        <v>810276</v>
      </c>
      <c r="V32" s="356">
        <v>674758</v>
      </c>
      <c r="W32" s="355">
        <v>676639</v>
      </c>
      <c r="X32" s="355">
        <v>654351</v>
      </c>
      <c r="Y32" s="355">
        <v>5155165</v>
      </c>
      <c r="Z32" s="355">
        <v>247725</v>
      </c>
      <c r="AA32" s="356">
        <v>1397092</v>
      </c>
      <c r="AB32" s="355">
        <v>490037</v>
      </c>
      <c r="AC32" s="356">
        <v>453144</v>
      </c>
      <c r="AD32" s="356">
        <v>411049</v>
      </c>
    </row>
    <row r="33" spans="1:30" s="256" customFormat="1" ht="15">
      <c r="A33" s="297"/>
      <c r="B33" s="297" t="s">
        <v>105</v>
      </c>
      <c r="C33" s="352">
        <v>680897</v>
      </c>
      <c r="D33" s="353">
        <v>584836</v>
      </c>
      <c r="E33" s="353">
        <v>674758</v>
      </c>
      <c r="F33" s="353">
        <v>539918</v>
      </c>
      <c r="G33" s="353">
        <v>763463</v>
      </c>
      <c r="H33" s="352">
        <v>573074</v>
      </c>
      <c r="I33" s="353">
        <v>430088</v>
      </c>
      <c r="J33" s="353">
        <v>382278</v>
      </c>
      <c r="K33" s="353">
        <v>451639</v>
      </c>
      <c r="L33" s="353">
        <v>582203</v>
      </c>
      <c r="M33" s="353">
        <v>545144</v>
      </c>
      <c r="N33" s="353">
        <v>662249</v>
      </c>
      <c r="O33" s="326">
        <f>SUM(D33:N33)</f>
        <v>6189650</v>
      </c>
      <c r="P33" s="327">
        <f t="shared" si="5"/>
        <v>0.07119607672021547</v>
      </c>
      <c r="Q33" s="328"/>
      <c r="R33" s="354" t="s">
        <v>135</v>
      </c>
      <c r="S33" s="356">
        <v>1365705</v>
      </c>
      <c r="T33" s="355">
        <v>1046502</v>
      </c>
      <c r="U33" s="356">
        <v>786635</v>
      </c>
      <c r="V33" s="356">
        <v>539918</v>
      </c>
      <c r="W33" s="356">
        <v>730929</v>
      </c>
      <c r="X33" s="356">
        <v>697195</v>
      </c>
      <c r="Y33" s="355">
        <v>5166884</v>
      </c>
      <c r="Z33" s="356">
        <v>200760</v>
      </c>
      <c r="AA33" s="356">
        <v>1736401</v>
      </c>
      <c r="AB33" s="355">
        <v>689684</v>
      </c>
      <c r="AC33" s="356">
        <v>435620</v>
      </c>
      <c r="AD33" s="356">
        <v>494709</v>
      </c>
    </row>
    <row r="34" spans="1:30" s="256" customFormat="1" ht="15">
      <c r="A34" s="297"/>
      <c r="B34" s="297" t="s">
        <v>104</v>
      </c>
      <c r="C34" s="352">
        <v>292498</v>
      </c>
      <c r="D34" s="352">
        <v>234499</v>
      </c>
      <c r="E34" s="352">
        <v>247725</v>
      </c>
      <c r="F34" s="353">
        <v>200760</v>
      </c>
      <c r="G34" s="352">
        <v>257315</v>
      </c>
      <c r="H34" s="352">
        <v>208381</v>
      </c>
      <c r="I34" s="352">
        <v>137289</v>
      </c>
      <c r="J34" s="353">
        <v>163761</v>
      </c>
      <c r="K34" s="353">
        <v>194038</v>
      </c>
      <c r="L34" s="353">
        <v>278364</v>
      </c>
      <c r="M34" s="352">
        <v>233354</v>
      </c>
      <c r="N34" s="352">
        <v>220929</v>
      </c>
      <c r="O34" s="326">
        <f>SUM(D34:N34)</f>
        <v>2376415</v>
      </c>
      <c r="P34" s="327">
        <f t="shared" si="5"/>
        <v>0.02733457055876679</v>
      </c>
      <c r="Q34" s="328"/>
      <c r="R34" s="354" t="s">
        <v>136</v>
      </c>
      <c r="S34" s="356">
        <v>1464790</v>
      </c>
      <c r="T34" s="355">
        <v>934922</v>
      </c>
      <c r="U34" s="355">
        <v>842673</v>
      </c>
      <c r="V34" s="356">
        <v>763463</v>
      </c>
      <c r="W34" s="355">
        <v>835835</v>
      </c>
      <c r="X34" s="355">
        <v>660397</v>
      </c>
      <c r="Y34" s="355">
        <v>5502080</v>
      </c>
      <c r="Z34" s="355">
        <v>257315</v>
      </c>
      <c r="AA34" s="356">
        <v>1719582</v>
      </c>
      <c r="AB34" s="355">
        <v>678036</v>
      </c>
      <c r="AC34" s="355">
        <v>437825</v>
      </c>
      <c r="AD34" s="356">
        <v>548167</v>
      </c>
    </row>
    <row r="35" spans="1:30" s="256" customFormat="1" ht="15">
      <c r="A35" s="297"/>
      <c r="B35" s="297" t="s">
        <v>21</v>
      </c>
      <c r="C35" s="352">
        <v>1542878</v>
      </c>
      <c r="D35" s="353">
        <v>1349175</v>
      </c>
      <c r="E35" s="353">
        <v>1319700</v>
      </c>
      <c r="F35" s="353">
        <v>1365705</v>
      </c>
      <c r="G35" s="353">
        <v>1464790</v>
      </c>
      <c r="H35" s="353">
        <v>1075675</v>
      </c>
      <c r="I35" s="353">
        <v>846459</v>
      </c>
      <c r="J35" s="353">
        <v>703331</v>
      </c>
      <c r="K35" s="353">
        <v>685754</v>
      </c>
      <c r="L35" s="353">
        <v>1109785</v>
      </c>
      <c r="M35" s="353">
        <v>1151955</v>
      </c>
      <c r="N35" s="353">
        <v>1289327</v>
      </c>
      <c r="O35" s="326">
        <f>SUM(C35:N35)</f>
        <v>13904534</v>
      </c>
      <c r="P35" s="327">
        <f t="shared" si="5"/>
        <v>0.15993606575862035</v>
      </c>
      <c r="Q35" s="297"/>
      <c r="R35" s="354" t="s">
        <v>137</v>
      </c>
      <c r="S35" s="356">
        <v>1075675</v>
      </c>
      <c r="T35" s="355">
        <v>740136</v>
      </c>
      <c r="U35" s="355">
        <v>714180</v>
      </c>
      <c r="V35" s="355">
        <v>573074</v>
      </c>
      <c r="W35" s="355">
        <v>513436</v>
      </c>
      <c r="X35" s="355">
        <v>561936</v>
      </c>
      <c r="Y35" s="355">
        <v>4178437</v>
      </c>
      <c r="Z35" s="355">
        <v>208381</v>
      </c>
      <c r="AA35" s="356">
        <v>1388330</v>
      </c>
      <c r="AB35" s="355">
        <v>536371</v>
      </c>
      <c r="AC35" s="356">
        <v>349650</v>
      </c>
      <c r="AD35" s="356">
        <v>451973</v>
      </c>
    </row>
    <row r="36" spans="1:30" s="256" customFormat="1" ht="15">
      <c r="A36" s="297"/>
      <c r="B36" s="297" t="s">
        <v>22</v>
      </c>
      <c r="C36" s="353">
        <v>361052</v>
      </c>
      <c r="D36" s="353">
        <v>280266</v>
      </c>
      <c r="E36" s="353">
        <v>411049</v>
      </c>
      <c r="F36" s="353">
        <v>494709</v>
      </c>
      <c r="G36" s="353">
        <v>548167</v>
      </c>
      <c r="H36" s="353">
        <v>451973</v>
      </c>
      <c r="I36" s="353">
        <v>347843</v>
      </c>
      <c r="J36" s="353">
        <v>321611</v>
      </c>
      <c r="K36" s="353">
        <v>367876</v>
      </c>
      <c r="L36" s="353">
        <v>284073</v>
      </c>
      <c r="M36" s="352">
        <v>302094</v>
      </c>
      <c r="N36" s="352">
        <v>368239</v>
      </c>
      <c r="O36" s="326">
        <f>SUM(C36:N36)</f>
        <v>4538952</v>
      </c>
      <c r="P36" s="327">
        <f t="shared" si="5"/>
        <v>0.05220902229065867</v>
      </c>
      <c r="Q36" s="297"/>
      <c r="R36" s="354" t="s">
        <v>138</v>
      </c>
      <c r="S36" s="356">
        <v>846459</v>
      </c>
      <c r="T36" s="355">
        <v>579455</v>
      </c>
      <c r="U36" s="355">
        <v>642413</v>
      </c>
      <c r="V36" s="356">
        <v>430088</v>
      </c>
      <c r="W36" s="355">
        <v>408349</v>
      </c>
      <c r="X36" s="355">
        <v>501012</v>
      </c>
      <c r="Y36" s="355">
        <v>3407776</v>
      </c>
      <c r="Z36" s="355">
        <v>137289</v>
      </c>
      <c r="AA36" s="356">
        <v>1134457</v>
      </c>
      <c r="AB36" s="355">
        <v>450154</v>
      </c>
      <c r="AC36" s="356">
        <v>271360</v>
      </c>
      <c r="AD36" s="356">
        <v>347843</v>
      </c>
    </row>
    <row r="37" spans="1:30" s="256" customFormat="1" ht="15">
      <c r="A37" s="297"/>
      <c r="B37" s="297" t="s">
        <v>24</v>
      </c>
      <c r="C37" s="353">
        <v>791730</v>
      </c>
      <c r="D37" s="353">
        <v>532710</v>
      </c>
      <c r="E37" s="353">
        <v>453144</v>
      </c>
      <c r="F37" s="353">
        <v>435620</v>
      </c>
      <c r="G37" s="352">
        <v>437825</v>
      </c>
      <c r="H37" s="353">
        <v>349650</v>
      </c>
      <c r="I37" s="353">
        <v>271360</v>
      </c>
      <c r="J37" s="353">
        <v>272560</v>
      </c>
      <c r="K37" s="353">
        <v>382020</v>
      </c>
      <c r="L37" s="353">
        <v>654482</v>
      </c>
      <c r="M37" s="352">
        <v>305285</v>
      </c>
      <c r="N37" s="352">
        <v>341955</v>
      </c>
      <c r="O37" s="326">
        <f>SUM(C37:N37)</f>
        <v>5228341</v>
      </c>
      <c r="P37" s="327">
        <f t="shared" si="5"/>
        <v>0.060138677785569146</v>
      </c>
      <c r="Q37" s="328"/>
      <c r="R37" s="357" t="s">
        <v>139</v>
      </c>
      <c r="S37" s="356">
        <v>703331</v>
      </c>
      <c r="T37" s="356">
        <v>375941</v>
      </c>
      <c r="U37" s="356">
        <v>568797</v>
      </c>
      <c r="V37" s="356">
        <v>382278</v>
      </c>
      <c r="W37" s="356">
        <v>438557</v>
      </c>
      <c r="X37" s="356">
        <v>460322</v>
      </c>
      <c r="Y37" s="356">
        <v>2929226</v>
      </c>
      <c r="Z37" s="356">
        <v>163761</v>
      </c>
      <c r="AA37" s="356">
        <v>824020</v>
      </c>
      <c r="AB37" s="356">
        <v>443326</v>
      </c>
      <c r="AC37" s="356">
        <v>272560</v>
      </c>
      <c r="AD37" s="356">
        <v>321611</v>
      </c>
    </row>
    <row r="38" spans="1:30" s="256" customFormat="1" ht="15">
      <c r="A38" s="297"/>
      <c r="B38" s="297" t="s">
        <v>23</v>
      </c>
      <c r="C38" s="353">
        <v>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26"/>
      <c r="P38" s="327"/>
      <c r="Q38" s="328"/>
      <c r="R38" s="357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</row>
    <row r="39" spans="1:30" s="256" customFormat="1" ht="15">
      <c r="A39" s="297"/>
      <c r="B39" s="297" t="s">
        <v>25</v>
      </c>
      <c r="C39" s="352">
        <v>1122912</v>
      </c>
      <c r="D39" s="352">
        <v>977900</v>
      </c>
      <c r="E39" s="352">
        <v>1019441</v>
      </c>
      <c r="F39" s="352">
        <v>1046502</v>
      </c>
      <c r="G39" s="352">
        <v>934922</v>
      </c>
      <c r="H39" s="352">
        <v>740136</v>
      </c>
      <c r="I39" s="352">
        <v>579455</v>
      </c>
      <c r="J39" s="353">
        <v>375941</v>
      </c>
      <c r="K39" s="353">
        <v>397322</v>
      </c>
      <c r="L39" s="352">
        <v>578798</v>
      </c>
      <c r="M39" s="352">
        <v>488399</v>
      </c>
      <c r="N39" s="352">
        <v>722181</v>
      </c>
      <c r="O39" s="326">
        <f>SUM(C39:N39)</f>
        <v>8983909</v>
      </c>
      <c r="P39" s="327">
        <f t="shared" si="5"/>
        <v>0.10333687274909474</v>
      </c>
      <c r="Q39" s="328"/>
      <c r="R39" s="357" t="s">
        <v>140</v>
      </c>
      <c r="S39" s="356">
        <v>685754</v>
      </c>
      <c r="T39" s="356">
        <v>397322</v>
      </c>
      <c r="U39" s="356">
        <v>551364</v>
      </c>
      <c r="V39" s="356">
        <v>451639</v>
      </c>
      <c r="W39" s="356">
        <v>459060</v>
      </c>
      <c r="X39" s="356">
        <v>410098</v>
      </c>
      <c r="Y39" s="355">
        <v>2955237</v>
      </c>
      <c r="Z39" s="356">
        <v>194038</v>
      </c>
      <c r="AA39" s="356">
        <v>697656</v>
      </c>
      <c r="AB39" s="356">
        <v>348630</v>
      </c>
      <c r="AC39" s="356">
        <v>382020</v>
      </c>
      <c r="AD39" s="356">
        <v>367876</v>
      </c>
    </row>
    <row r="40" spans="1:30" s="256" customFormat="1" ht="15">
      <c r="A40" s="297"/>
      <c r="B40" s="358" t="s">
        <v>26</v>
      </c>
      <c r="C40" s="326">
        <f>SUM(C29:C39)</f>
        <v>7585187</v>
      </c>
      <c r="D40" s="326">
        <f aca="true" t="shared" si="6" ref="D40:O40">SUM(D29:D39)</f>
        <v>6151001</v>
      </c>
      <c r="E40" s="326">
        <f t="shared" si="6"/>
        <v>6267083</v>
      </c>
      <c r="F40" s="326">
        <f t="shared" si="6"/>
        <v>6297973</v>
      </c>
      <c r="G40" s="326">
        <f t="shared" si="6"/>
        <v>6745387</v>
      </c>
      <c r="H40" s="326">
        <f t="shared" si="6"/>
        <v>5188441</v>
      </c>
      <c r="I40" s="326">
        <f t="shared" si="6"/>
        <v>4164268</v>
      </c>
      <c r="J40" s="326">
        <f t="shared" si="6"/>
        <v>3687158</v>
      </c>
      <c r="K40" s="326">
        <f t="shared" si="6"/>
        <v>3899171</v>
      </c>
      <c r="L40" s="326">
        <f t="shared" si="6"/>
        <v>5331662</v>
      </c>
      <c r="M40" s="326">
        <f t="shared" si="6"/>
        <v>4869109</v>
      </c>
      <c r="N40" s="326">
        <f t="shared" si="6"/>
        <v>5839001</v>
      </c>
      <c r="O40" s="326">
        <f t="shared" si="6"/>
        <v>65052046</v>
      </c>
      <c r="P40" s="327">
        <f t="shared" si="5"/>
        <v>0.7482572452114394</v>
      </c>
      <c r="Q40" s="328"/>
      <c r="R40" s="359" t="s">
        <v>141</v>
      </c>
      <c r="S40" s="356">
        <v>1109785</v>
      </c>
      <c r="T40" s="355">
        <v>578798</v>
      </c>
      <c r="U40" s="356">
        <v>734972</v>
      </c>
      <c r="V40" s="356">
        <v>582203</v>
      </c>
      <c r="W40" s="356">
        <v>563592</v>
      </c>
      <c r="X40" s="355">
        <v>545393</v>
      </c>
      <c r="Y40" s="355">
        <v>4114743</v>
      </c>
      <c r="Z40" s="356">
        <v>278364</v>
      </c>
      <c r="AA40" s="356">
        <v>1094038</v>
      </c>
      <c r="AB40" s="355">
        <v>585936</v>
      </c>
      <c r="AC40" s="356">
        <v>654482</v>
      </c>
      <c r="AD40" s="356">
        <v>284073</v>
      </c>
    </row>
    <row r="41" spans="1:30" s="256" customFormat="1" ht="15">
      <c r="A41" s="297"/>
      <c r="B41" s="297" t="s">
        <v>114</v>
      </c>
      <c r="C41" s="328">
        <v>0</v>
      </c>
      <c r="D41" s="328">
        <v>0</v>
      </c>
      <c r="E41" s="328">
        <v>0</v>
      </c>
      <c r="F41" s="328">
        <v>0</v>
      </c>
      <c r="G41" s="328">
        <v>0</v>
      </c>
      <c r="H41" s="328">
        <v>0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326"/>
      <c r="P41" s="338"/>
      <c r="Q41" s="328"/>
      <c r="R41" s="359" t="s">
        <v>142</v>
      </c>
      <c r="S41" s="356">
        <v>1151955</v>
      </c>
      <c r="T41" s="355">
        <v>488399</v>
      </c>
      <c r="U41" s="355">
        <v>791635</v>
      </c>
      <c r="V41" s="356">
        <v>545144</v>
      </c>
      <c r="W41" s="355">
        <v>539369</v>
      </c>
      <c r="X41" s="355">
        <v>511874</v>
      </c>
      <c r="Y41" s="355">
        <v>4028376</v>
      </c>
      <c r="Z41" s="355">
        <v>233354</v>
      </c>
      <c r="AA41" s="356">
        <v>1226467</v>
      </c>
      <c r="AB41" s="355">
        <v>531055</v>
      </c>
      <c r="AC41" s="355">
        <v>305285</v>
      </c>
      <c r="AD41" s="355">
        <v>302094</v>
      </c>
    </row>
    <row r="42" spans="1:30" s="256" customFormat="1" ht="15">
      <c r="A42" s="297"/>
      <c r="B42" s="297" t="s">
        <v>27</v>
      </c>
      <c r="C42" s="353">
        <v>1506167</v>
      </c>
      <c r="D42" s="353">
        <v>1383237</v>
      </c>
      <c r="E42" s="353">
        <v>1397092</v>
      </c>
      <c r="F42" s="353">
        <v>1736401</v>
      </c>
      <c r="G42" s="353">
        <v>1719582</v>
      </c>
      <c r="H42" s="353">
        <v>1388330</v>
      </c>
      <c r="I42" s="353">
        <v>1134457</v>
      </c>
      <c r="J42" s="353">
        <v>824020</v>
      </c>
      <c r="K42" s="353">
        <v>697656</v>
      </c>
      <c r="L42" s="353">
        <v>1094038</v>
      </c>
      <c r="M42" s="353">
        <v>1226467</v>
      </c>
      <c r="N42" s="353">
        <v>1195314</v>
      </c>
      <c r="O42" s="326">
        <f>SUM(C42:N42)</f>
        <v>15302761</v>
      </c>
      <c r="P42" s="327">
        <f>+O42/$O$49</f>
        <v>0.1760190877007781</v>
      </c>
      <c r="Q42" s="328"/>
      <c r="R42" s="359" t="s">
        <v>143</v>
      </c>
      <c r="S42" s="356">
        <v>1289327</v>
      </c>
      <c r="T42" s="355">
        <v>722181</v>
      </c>
      <c r="U42" s="355">
        <v>962669</v>
      </c>
      <c r="V42" s="356">
        <v>662249</v>
      </c>
      <c r="W42" s="355">
        <v>648971</v>
      </c>
      <c r="X42" s="355">
        <v>622481</v>
      </c>
      <c r="Y42" s="355">
        <v>4907878</v>
      </c>
      <c r="Z42" s="355">
        <v>220929</v>
      </c>
      <c r="AA42" s="356">
        <v>1195314</v>
      </c>
      <c r="AB42" s="355">
        <v>642990</v>
      </c>
      <c r="AC42" s="355">
        <v>341955</v>
      </c>
      <c r="AD42" s="355">
        <v>368239</v>
      </c>
    </row>
    <row r="43" spans="1:30" s="256" customFormat="1" ht="15">
      <c r="A43" s="297"/>
      <c r="B43" s="297" t="s">
        <v>57</v>
      </c>
      <c r="C43" s="328">
        <v>0</v>
      </c>
      <c r="D43" s="328">
        <v>0</v>
      </c>
      <c r="E43" s="328">
        <v>0</v>
      </c>
      <c r="F43" s="328">
        <v>0</v>
      </c>
      <c r="G43" s="328">
        <v>0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0</v>
      </c>
      <c r="N43" s="328">
        <v>0</v>
      </c>
      <c r="O43" s="326">
        <f>SUM(C43:N43)</f>
        <v>0</v>
      </c>
      <c r="P43" s="327">
        <f>+O43/$O$49</f>
        <v>0</v>
      </c>
      <c r="Q43" s="328"/>
      <c r="R43" s="357" t="s">
        <v>149</v>
      </c>
      <c r="S43" s="356">
        <v>13904534</v>
      </c>
      <c r="T43" s="356">
        <v>8983909</v>
      </c>
      <c r="U43" s="356">
        <v>9209332</v>
      </c>
      <c r="V43" s="356">
        <v>6870547</v>
      </c>
      <c r="W43" s="356">
        <v>7409745</v>
      </c>
      <c r="X43" s="356">
        <v>7211168</v>
      </c>
      <c r="Y43" s="356">
        <v>53589235</v>
      </c>
      <c r="Z43" s="356">
        <v>2668913</v>
      </c>
      <c r="AA43" s="356">
        <v>15302761</v>
      </c>
      <c r="AB43" s="356">
        <v>6583270</v>
      </c>
      <c r="AC43" s="356">
        <v>5228341</v>
      </c>
      <c r="AD43" s="356">
        <v>4538952</v>
      </c>
    </row>
    <row r="44" spans="1:17" s="54" customFormat="1" ht="15">
      <c r="A44" s="297"/>
      <c r="B44" s="297" t="s">
        <v>106</v>
      </c>
      <c r="C44" s="328">
        <v>0</v>
      </c>
      <c r="D44" s="328">
        <v>0</v>
      </c>
      <c r="E44" s="328">
        <v>0</v>
      </c>
      <c r="F44" s="328">
        <v>0</v>
      </c>
      <c r="G44" s="328">
        <v>0</v>
      </c>
      <c r="H44" s="328">
        <v>0</v>
      </c>
      <c r="I44" s="328">
        <v>0</v>
      </c>
      <c r="J44" s="328">
        <v>0</v>
      </c>
      <c r="K44" s="328">
        <v>0</v>
      </c>
      <c r="L44" s="328">
        <v>0</v>
      </c>
      <c r="M44" s="328">
        <v>0</v>
      </c>
      <c r="N44" s="328">
        <v>0</v>
      </c>
      <c r="O44" s="326">
        <f>SUM(C44:N44)</f>
        <v>0</v>
      </c>
      <c r="P44" s="327">
        <f>+O44/$O$49</f>
        <v>0</v>
      </c>
      <c r="Q44" s="297"/>
    </row>
    <row r="45" spans="1:17" s="54" customFormat="1" ht="15">
      <c r="A45" s="297"/>
      <c r="B45" s="297" t="s">
        <v>115</v>
      </c>
      <c r="C45" s="328">
        <v>0</v>
      </c>
      <c r="D45" s="328">
        <v>0</v>
      </c>
      <c r="E45" s="328">
        <v>0</v>
      </c>
      <c r="F45" s="328">
        <v>0</v>
      </c>
      <c r="G45" s="328">
        <v>0</v>
      </c>
      <c r="H45" s="328">
        <v>0</v>
      </c>
      <c r="I45" s="328">
        <v>0</v>
      </c>
      <c r="J45" s="328">
        <v>0</v>
      </c>
      <c r="K45" s="328">
        <v>0</v>
      </c>
      <c r="L45" s="328">
        <v>0</v>
      </c>
      <c r="M45" s="328">
        <v>0</v>
      </c>
      <c r="N45" s="328">
        <v>0</v>
      </c>
      <c r="O45" s="326"/>
      <c r="P45" s="327"/>
      <c r="Q45" s="297"/>
    </row>
    <row r="46" spans="1:17" s="54" customFormat="1" ht="15">
      <c r="A46" s="297"/>
      <c r="B46" s="297" t="s">
        <v>116</v>
      </c>
      <c r="C46" s="328">
        <v>0</v>
      </c>
      <c r="D46" s="328">
        <v>0</v>
      </c>
      <c r="E46" s="328">
        <v>0</v>
      </c>
      <c r="F46" s="328">
        <v>0</v>
      </c>
      <c r="G46" s="328">
        <v>0</v>
      </c>
      <c r="H46" s="328">
        <v>0</v>
      </c>
      <c r="I46" s="328">
        <v>0</v>
      </c>
      <c r="J46" s="328">
        <v>0</v>
      </c>
      <c r="K46" s="328">
        <v>0</v>
      </c>
      <c r="L46" s="328">
        <v>0</v>
      </c>
      <c r="M46" s="328">
        <v>0</v>
      </c>
      <c r="N46" s="328">
        <v>0</v>
      </c>
      <c r="O46" s="326"/>
      <c r="P46" s="327"/>
      <c r="Q46" s="297"/>
    </row>
    <row r="47" spans="1:17" s="54" customFormat="1" ht="15">
      <c r="A47" s="297"/>
      <c r="B47" s="297" t="s">
        <v>107</v>
      </c>
      <c r="C47" s="353">
        <v>647848</v>
      </c>
      <c r="D47" s="353">
        <v>539203</v>
      </c>
      <c r="E47" s="352">
        <v>490037</v>
      </c>
      <c r="F47" s="352">
        <v>689684</v>
      </c>
      <c r="G47" s="352">
        <v>678036</v>
      </c>
      <c r="H47" s="352">
        <v>536371</v>
      </c>
      <c r="I47" s="352">
        <v>450154</v>
      </c>
      <c r="J47" s="353">
        <v>443326</v>
      </c>
      <c r="K47" s="353">
        <v>348630</v>
      </c>
      <c r="L47" s="352">
        <v>585936</v>
      </c>
      <c r="M47" s="352">
        <v>531055</v>
      </c>
      <c r="N47" s="352">
        <v>642990</v>
      </c>
      <c r="O47" s="326">
        <f>SUM(C47:N47)</f>
        <v>6583270</v>
      </c>
      <c r="P47" s="327">
        <f>+O47/$O$49</f>
        <v>0.0757236670877825</v>
      </c>
      <c r="Q47" s="297"/>
    </row>
    <row r="48" spans="1:17" s="54" customFormat="1" ht="15">
      <c r="A48" s="297"/>
      <c r="B48" s="297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6"/>
      <c r="P48" s="338"/>
      <c r="Q48" s="328"/>
    </row>
    <row r="49" spans="1:17" s="54" customFormat="1" ht="15">
      <c r="A49" s="297"/>
      <c r="B49" s="339" t="s">
        <v>28</v>
      </c>
      <c r="C49" s="340">
        <f aca="true" t="shared" si="7" ref="C49:O49">+C40+C42+C43+C44+C47</f>
        <v>9739202</v>
      </c>
      <c r="D49" s="340">
        <f t="shared" si="7"/>
        <v>8073441</v>
      </c>
      <c r="E49" s="340">
        <f t="shared" si="7"/>
        <v>8154212</v>
      </c>
      <c r="F49" s="340">
        <f t="shared" si="7"/>
        <v>8724058</v>
      </c>
      <c r="G49" s="340">
        <f t="shared" si="7"/>
        <v>9143005</v>
      </c>
      <c r="H49" s="340">
        <f t="shared" si="7"/>
        <v>7113142</v>
      </c>
      <c r="I49" s="340">
        <f t="shared" si="7"/>
        <v>5748879</v>
      </c>
      <c r="J49" s="340">
        <f t="shared" si="7"/>
        <v>4954504</v>
      </c>
      <c r="K49" s="340">
        <f t="shared" si="7"/>
        <v>4945457</v>
      </c>
      <c r="L49" s="340">
        <f t="shared" si="7"/>
        <v>7011636</v>
      </c>
      <c r="M49" s="340">
        <f t="shared" si="7"/>
        <v>6626631</v>
      </c>
      <c r="N49" s="340">
        <f t="shared" si="7"/>
        <v>7677305</v>
      </c>
      <c r="O49" s="340">
        <f t="shared" si="7"/>
        <v>86938077</v>
      </c>
      <c r="P49" s="341">
        <f>+P40+P42+P43</f>
        <v>0.9242763329122176</v>
      </c>
      <c r="Q49" s="328"/>
    </row>
    <row r="50" spans="1:17" s="54" customFormat="1" ht="15.75" thickBot="1">
      <c r="A50" s="297"/>
      <c r="B50" s="289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289"/>
      <c r="Q50" s="297"/>
    </row>
    <row r="51" spans="1:17" s="12" customFormat="1" ht="15.75" thickTop="1">
      <c r="A51" s="23"/>
      <c r="B51" s="2">
        <f ca="1">NOW()</f>
        <v>40948.65149502315</v>
      </c>
      <c r="C51" s="1" t="s">
        <v>58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2" customFormat="1" ht="15">
      <c r="A52" s="23"/>
      <c r="B52" s="2"/>
      <c r="C52" s="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2" customFormat="1" ht="15">
      <c r="A53" s="23"/>
      <c r="B53" s="2"/>
      <c r="C53" s="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12" customFormat="1" ht="15">
      <c r="A54" s="23"/>
      <c r="B54" s="2"/>
      <c r="C54" s="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12" customFormat="1" ht="15">
      <c r="A55" s="23"/>
      <c r="B55" s="2"/>
      <c r="C55" s="30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12" customFormat="1" ht="15">
      <c r="A56" s="23"/>
      <c r="B56" s="2"/>
      <c r="C56" s="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12" customFormat="1" ht="15">
      <c r="A57" s="1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 t="s">
        <v>30</v>
      </c>
      <c r="Q57" s="1"/>
    </row>
    <row r="58" spans="1:17" s="12" customFormat="1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2" customFormat="1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12" customFormat="1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12" customFormat="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12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12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12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6" ht="15.75">
      <c r="A65" s="12" t="s">
        <v>46</v>
      </c>
      <c r="B65" s="12"/>
      <c r="C65" s="16" t="s">
        <v>162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P65" s="260"/>
    </row>
    <row r="66" spans="3:14" ht="15">
      <c r="C66" s="259" t="s">
        <v>2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</row>
    <row r="67" spans="2:16" ht="16.5" thickBot="1">
      <c r="B67" s="261"/>
      <c r="C67" s="27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3">
        <v>2007</v>
      </c>
      <c r="P67" s="261"/>
    </row>
    <row r="68" spans="2:30" ht="16.5" thickBot="1" thickTop="1">
      <c r="B68" s="264"/>
      <c r="C68" s="265" t="s">
        <v>3</v>
      </c>
      <c r="D68" s="266" t="s">
        <v>4</v>
      </c>
      <c r="E68" s="266" t="s">
        <v>5</v>
      </c>
      <c r="F68" s="266" t="s">
        <v>6</v>
      </c>
      <c r="G68" s="266" t="s">
        <v>7</v>
      </c>
      <c r="H68" s="266" t="s">
        <v>8</v>
      </c>
      <c r="I68" s="266" t="s">
        <v>9</v>
      </c>
      <c r="J68" s="266" t="s">
        <v>10</v>
      </c>
      <c r="K68" s="267" t="s">
        <v>11</v>
      </c>
      <c r="L68" s="266" t="s">
        <v>12</v>
      </c>
      <c r="M68" s="266" t="s">
        <v>13</v>
      </c>
      <c r="N68" s="266" t="s">
        <v>14</v>
      </c>
      <c r="O68" s="268" t="s">
        <v>15</v>
      </c>
      <c r="P68" s="269" t="s">
        <v>16</v>
      </c>
      <c r="S68" s="259" t="s">
        <v>47</v>
      </c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</row>
    <row r="69" spans="2:30" ht="15.75" thickTop="1">
      <c r="B69" s="270"/>
      <c r="C69" s="271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1"/>
      <c r="P69" s="272"/>
      <c r="S69" s="259" t="s">
        <v>2</v>
      </c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</row>
    <row r="70" spans="2:31" ht="15.75" thickBot="1">
      <c r="B70" s="273" t="s">
        <v>42</v>
      </c>
      <c r="C70" s="274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4"/>
      <c r="P70" s="5"/>
      <c r="Q70" s="12"/>
      <c r="R70" s="54"/>
      <c r="S70" s="212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5"/>
    </row>
    <row r="71" spans="2:31" ht="15.75" thickBot="1">
      <c r="B71" s="276" t="s">
        <v>33</v>
      </c>
      <c r="C71" s="277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4">
        <f>SUM(C71:N71)</f>
        <v>0</v>
      </c>
      <c r="P71" s="5" t="e">
        <f>+O71/$O$95</f>
        <v>#DIV/0!</v>
      </c>
      <c r="Q71" s="12"/>
      <c r="R71" s="211"/>
      <c r="S71" s="213" t="s">
        <v>3</v>
      </c>
      <c r="T71" s="214" t="s">
        <v>4</v>
      </c>
      <c r="U71" s="214" t="s">
        <v>5</v>
      </c>
      <c r="V71" s="214" t="s">
        <v>6</v>
      </c>
      <c r="W71" s="214" t="s">
        <v>7</v>
      </c>
      <c r="X71" s="214" t="s">
        <v>8</v>
      </c>
      <c r="Y71" s="214" t="s">
        <v>9</v>
      </c>
      <c r="Z71" s="214" t="s">
        <v>10</v>
      </c>
      <c r="AA71" s="215" t="s">
        <v>11</v>
      </c>
      <c r="AB71" s="214" t="s">
        <v>12</v>
      </c>
      <c r="AC71" s="214" t="s">
        <v>13</v>
      </c>
      <c r="AD71" s="214" t="s">
        <v>14</v>
      </c>
      <c r="AE71" s="216" t="s">
        <v>150</v>
      </c>
    </row>
    <row r="72" spans="2:31" ht="15.75" thickTop="1">
      <c r="B72" s="273" t="s">
        <v>34</v>
      </c>
      <c r="C72" s="277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4">
        <f>SUM(C72:N72)</f>
        <v>0</v>
      </c>
      <c r="P72" s="5" t="e">
        <f>+O72/$O$96</f>
        <v>#DIV/0!</v>
      </c>
      <c r="Q72" s="12"/>
      <c r="R72" s="217" t="s">
        <v>151</v>
      </c>
      <c r="S72" s="218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20"/>
    </row>
    <row r="73" spans="2:31" ht="15">
      <c r="B73" s="276"/>
      <c r="C73" s="277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4"/>
      <c r="P73" s="5"/>
      <c r="Q73" s="12"/>
      <c r="R73" s="211" t="s">
        <v>33</v>
      </c>
      <c r="S73" s="221">
        <v>729406.6</v>
      </c>
      <c r="T73" s="222">
        <v>1375971.5</v>
      </c>
      <c r="U73" s="222">
        <v>562979.5</v>
      </c>
      <c r="V73" s="222">
        <v>556584.8</v>
      </c>
      <c r="W73" s="222">
        <v>2259284.9</v>
      </c>
      <c r="X73" s="222">
        <v>1185956</v>
      </c>
      <c r="Y73" s="222">
        <v>914603</v>
      </c>
      <c r="Z73" s="222">
        <v>730749.5</v>
      </c>
      <c r="AA73" s="222">
        <v>523923.38</v>
      </c>
      <c r="AB73" s="222">
        <v>677738</v>
      </c>
      <c r="AC73" s="222">
        <v>837825.7</v>
      </c>
      <c r="AD73" s="223">
        <v>615577.5</v>
      </c>
      <c r="AE73" s="224">
        <f>SUM(S73:AD73)</f>
        <v>10970600.38</v>
      </c>
    </row>
    <row r="74" spans="2:31" ht="15">
      <c r="B74" s="276" t="s">
        <v>43</v>
      </c>
      <c r="C74" s="277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4"/>
      <c r="P74" s="5"/>
      <c r="Q74" s="12"/>
      <c r="R74" s="217" t="s">
        <v>34</v>
      </c>
      <c r="S74" s="221">
        <v>1380106.65</v>
      </c>
      <c r="T74" s="222">
        <v>2238881.69</v>
      </c>
      <c r="U74" s="222">
        <v>987111.84</v>
      </c>
      <c r="V74" s="222">
        <v>957766.68</v>
      </c>
      <c r="W74" s="222">
        <v>3292403.98</v>
      </c>
      <c r="X74" s="222">
        <v>1931073.53</v>
      </c>
      <c r="Y74" s="222">
        <v>1536164.52</v>
      </c>
      <c r="Z74" s="222">
        <v>1190672.51</v>
      </c>
      <c r="AA74" s="222">
        <v>963989.73</v>
      </c>
      <c r="AB74" s="222">
        <v>1121595.8</v>
      </c>
      <c r="AC74" s="222">
        <v>1501208.64</v>
      </c>
      <c r="AD74" s="223">
        <v>929406.33</v>
      </c>
      <c r="AE74" s="224">
        <f>SUM(S74:AD74)</f>
        <v>18030381.9</v>
      </c>
    </row>
    <row r="75" spans="2:31" ht="15">
      <c r="B75" s="276" t="s">
        <v>33</v>
      </c>
      <c r="C75" s="277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4">
        <f>SUM(C75:N75)</f>
        <v>0</v>
      </c>
      <c r="P75" s="5" t="e">
        <f>+O75/$O$95</f>
        <v>#DIV/0!</v>
      </c>
      <c r="Q75" s="12"/>
      <c r="R75" s="211" t="s">
        <v>152</v>
      </c>
      <c r="S75" s="225">
        <f>S74/S73</f>
        <v>1.8920950948346231</v>
      </c>
      <c r="T75" s="226">
        <f aca="true" t="shared" si="8" ref="T75:AE75">T74/T73</f>
        <v>1.6271279528682099</v>
      </c>
      <c r="U75" s="226">
        <f t="shared" si="8"/>
        <v>1.7533708420999343</v>
      </c>
      <c r="V75" s="226">
        <f t="shared" si="8"/>
        <v>1.7207920158797005</v>
      </c>
      <c r="W75" s="226">
        <f t="shared" si="8"/>
        <v>1.4572770260182768</v>
      </c>
      <c r="X75" s="226">
        <f t="shared" si="8"/>
        <v>1.628284295538789</v>
      </c>
      <c r="Y75" s="226">
        <f t="shared" si="8"/>
        <v>1.6795970710789272</v>
      </c>
      <c r="Z75" s="226">
        <f t="shared" si="8"/>
        <v>1.629385322877402</v>
      </c>
      <c r="AA75" s="226">
        <f t="shared" si="8"/>
        <v>1.8399440964058522</v>
      </c>
      <c r="AB75" s="226">
        <f t="shared" si="8"/>
        <v>1.6549105996712594</v>
      </c>
      <c r="AC75" s="226">
        <f t="shared" si="8"/>
        <v>1.7917911088189344</v>
      </c>
      <c r="AD75" s="227">
        <f t="shared" si="8"/>
        <v>1.509812054534157</v>
      </c>
      <c r="AE75" s="228">
        <f t="shared" si="8"/>
        <v>1.6435182465373874</v>
      </c>
    </row>
    <row r="76" spans="2:31" ht="15">
      <c r="B76" s="273" t="s">
        <v>34</v>
      </c>
      <c r="C76" s="277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4">
        <f>SUM(C76:N76)</f>
        <v>0</v>
      </c>
      <c r="P76" s="5" t="e">
        <f>+O76/$O$96</f>
        <v>#DIV/0!</v>
      </c>
      <c r="Q76" s="12"/>
      <c r="R76" s="217" t="s">
        <v>153</v>
      </c>
      <c r="S76" s="225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7"/>
      <c r="AE76" s="229"/>
    </row>
    <row r="77" spans="2:31" ht="15">
      <c r="B77" s="276"/>
      <c r="C77" s="277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4"/>
      <c r="P77" s="5"/>
      <c r="Q77" s="12"/>
      <c r="R77" s="211" t="s">
        <v>33</v>
      </c>
      <c r="S77" s="225">
        <v>280376</v>
      </c>
      <c r="T77" s="226">
        <v>133078</v>
      </c>
      <c r="U77" s="226">
        <v>229368</v>
      </c>
      <c r="V77" s="226">
        <v>333375</v>
      </c>
      <c r="W77" s="226">
        <v>323576</v>
      </c>
      <c r="X77" s="226">
        <v>253007</v>
      </c>
      <c r="Y77" s="226">
        <v>400956</v>
      </c>
      <c r="Z77" s="226">
        <v>259392</v>
      </c>
      <c r="AA77" s="226">
        <v>328354</v>
      </c>
      <c r="AB77" s="226">
        <v>372244</v>
      </c>
      <c r="AC77" s="226">
        <v>258505</v>
      </c>
      <c r="AD77" s="227">
        <v>238565</v>
      </c>
      <c r="AE77" s="229">
        <f>SUM(S77:AD77)</f>
        <v>3410796</v>
      </c>
    </row>
    <row r="78" spans="2:31" ht="15">
      <c r="B78" s="273" t="s">
        <v>32</v>
      </c>
      <c r="C78" s="277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4"/>
      <c r="P78" s="5"/>
      <c r="Q78" s="12"/>
      <c r="R78" s="217" t="s">
        <v>34</v>
      </c>
      <c r="S78" s="225">
        <v>475145.12</v>
      </c>
      <c r="T78" s="226">
        <v>223692.2</v>
      </c>
      <c r="U78" s="226">
        <v>381071.84</v>
      </c>
      <c r="V78" s="226">
        <v>565619.52</v>
      </c>
      <c r="W78" s="226">
        <v>533387.36</v>
      </c>
      <c r="X78" s="226">
        <v>437489.92</v>
      </c>
      <c r="Y78" s="226">
        <v>679957.76</v>
      </c>
      <c r="Z78" s="226">
        <v>454351.44</v>
      </c>
      <c r="AA78" s="226">
        <v>577448.24</v>
      </c>
      <c r="AB78" s="226">
        <v>673446.2</v>
      </c>
      <c r="AC78" s="226">
        <v>457597.18</v>
      </c>
      <c r="AD78" s="227">
        <v>432120.48</v>
      </c>
      <c r="AE78" s="229">
        <f>SUM(S78:AD78)</f>
        <v>5891327.26</v>
      </c>
    </row>
    <row r="79" spans="2:31" ht="15">
      <c r="B79" s="276" t="s">
        <v>33</v>
      </c>
      <c r="C79" s="277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4">
        <f>SUM(C79:N79)</f>
        <v>0</v>
      </c>
      <c r="P79" s="5" t="e">
        <f>+O79/$O$95</f>
        <v>#DIV/0!</v>
      </c>
      <c r="Q79" s="12"/>
      <c r="R79" s="211" t="s">
        <v>152</v>
      </c>
      <c r="S79" s="225">
        <f>S78/S77</f>
        <v>1.6946711558763945</v>
      </c>
      <c r="T79" s="230">
        <f aca="true" t="shared" si="9" ref="T79:AE79">T78/T77</f>
        <v>1.6809104434993012</v>
      </c>
      <c r="U79" s="230">
        <f t="shared" si="9"/>
        <v>1.661399323358097</v>
      </c>
      <c r="V79" s="230">
        <f t="shared" si="9"/>
        <v>1.6966464791901013</v>
      </c>
      <c r="W79" s="230">
        <f t="shared" si="9"/>
        <v>1.6484144683165625</v>
      </c>
      <c r="X79" s="230">
        <f t="shared" si="9"/>
        <v>1.729161327552202</v>
      </c>
      <c r="Y79" s="230">
        <f t="shared" si="9"/>
        <v>1.6958413391993137</v>
      </c>
      <c r="Z79" s="230">
        <f t="shared" si="9"/>
        <v>1.7516015914137675</v>
      </c>
      <c r="AA79" s="230">
        <f t="shared" si="9"/>
        <v>1.7586149095183856</v>
      </c>
      <c r="AB79" s="230">
        <f t="shared" si="9"/>
        <v>1.8091525988330235</v>
      </c>
      <c r="AC79" s="230">
        <f t="shared" si="9"/>
        <v>1.7701676176476278</v>
      </c>
      <c r="AD79" s="231">
        <f t="shared" si="9"/>
        <v>1.811332257456039</v>
      </c>
      <c r="AE79" s="228">
        <f t="shared" si="9"/>
        <v>1.7272587571933355</v>
      </c>
    </row>
    <row r="80" spans="2:31" ht="15">
      <c r="B80" s="273" t="s">
        <v>34</v>
      </c>
      <c r="C80" s="277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4">
        <f>SUM(C80:N80)</f>
        <v>0</v>
      </c>
      <c r="P80" s="5" t="e">
        <f>+O80/$O$96</f>
        <v>#DIV/0!</v>
      </c>
      <c r="Q80" s="12"/>
      <c r="R80" s="217" t="s">
        <v>154</v>
      </c>
      <c r="S80" s="225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7"/>
      <c r="AE80" s="229"/>
    </row>
    <row r="81" spans="2:31" ht="15">
      <c r="B81" s="276"/>
      <c r="C81" s="277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4"/>
      <c r="P81" s="5"/>
      <c r="Q81" s="12"/>
      <c r="R81" s="211" t="s">
        <v>33</v>
      </c>
      <c r="S81" s="225">
        <v>182593.5</v>
      </c>
      <c r="T81" s="226">
        <v>256035.5</v>
      </c>
      <c r="U81" s="226">
        <v>241927</v>
      </c>
      <c r="V81" s="226">
        <v>211285</v>
      </c>
      <c r="W81" s="226">
        <v>304649.5</v>
      </c>
      <c r="X81" s="226">
        <v>197046.5</v>
      </c>
      <c r="Y81" s="226">
        <v>231487</v>
      </c>
      <c r="Z81" s="226">
        <v>113979</v>
      </c>
      <c r="AA81" s="226">
        <v>60629.5</v>
      </c>
      <c r="AB81" s="226">
        <v>211942.5</v>
      </c>
      <c r="AC81" s="226">
        <v>201905</v>
      </c>
      <c r="AD81" s="227">
        <v>173146.5</v>
      </c>
      <c r="AE81" s="228">
        <f>SUM(S81:AD81)</f>
        <v>2386626.5</v>
      </c>
    </row>
    <row r="82" spans="2:31" ht="15">
      <c r="B82" s="273" t="s">
        <v>44</v>
      </c>
      <c r="C82" s="277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4"/>
      <c r="P82" s="5"/>
      <c r="Q82" s="12"/>
      <c r="R82" s="217" t="s">
        <v>34</v>
      </c>
      <c r="S82" s="225">
        <v>409337.65</v>
      </c>
      <c r="T82" s="226">
        <v>526680.78</v>
      </c>
      <c r="U82" s="226">
        <v>467279.06</v>
      </c>
      <c r="V82" s="226">
        <v>396055.47</v>
      </c>
      <c r="W82" s="226">
        <v>569368.18</v>
      </c>
      <c r="X82" s="226">
        <v>352085.04</v>
      </c>
      <c r="Y82" s="226">
        <v>477764.89</v>
      </c>
      <c r="Z82" s="226">
        <v>270360.34</v>
      </c>
      <c r="AA82" s="226">
        <v>141125.62</v>
      </c>
      <c r="AB82" s="226">
        <v>473622.64</v>
      </c>
      <c r="AC82" s="226">
        <v>440461.61</v>
      </c>
      <c r="AD82" s="227">
        <v>368581.17</v>
      </c>
      <c r="AE82" s="228">
        <f>SUM(S82:AD82)</f>
        <v>4892722.45</v>
      </c>
    </row>
    <row r="83" spans="2:31" ht="15">
      <c r="B83" s="276" t="s">
        <v>33</v>
      </c>
      <c r="C83" s="277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4">
        <f>SUM(C83:N83)</f>
        <v>0</v>
      </c>
      <c r="P83" s="5" t="e">
        <f>+O83/$O$95</f>
        <v>#DIV/0!</v>
      </c>
      <c r="Q83" s="12"/>
      <c r="R83" s="211" t="s">
        <v>152</v>
      </c>
      <c r="S83" s="225">
        <f>S82/S81</f>
        <v>2.2417974900530413</v>
      </c>
      <c r="T83" s="230">
        <f aca="true" t="shared" si="10" ref="T83:AE83">T82/T81</f>
        <v>2.057061540294217</v>
      </c>
      <c r="U83" s="230">
        <f t="shared" si="10"/>
        <v>1.9314878455071158</v>
      </c>
      <c r="V83" s="230">
        <f t="shared" si="10"/>
        <v>1.8745082234895993</v>
      </c>
      <c r="W83" s="230">
        <f t="shared" si="10"/>
        <v>1.868928654076242</v>
      </c>
      <c r="X83" s="230">
        <f t="shared" si="10"/>
        <v>1.7868119454037499</v>
      </c>
      <c r="Y83" s="230">
        <f t="shared" si="10"/>
        <v>2.0638951215403027</v>
      </c>
      <c r="Z83" s="230">
        <f t="shared" si="10"/>
        <v>2.372018880671001</v>
      </c>
      <c r="AA83" s="230">
        <f t="shared" si="10"/>
        <v>2.3276725026595964</v>
      </c>
      <c r="AB83" s="230">
        <f t="shared" si="10"/>
        <v>2.234675159536195</v>
      </c>
      <c r="AC83" s="230">
        <f t="shared" si="10"/>
        <v>2.181528986404497</v>
      </c>
      <c r="AD83" s="231">
        <f t="shared" si="10"/>
        <v>2.1287243461461824</v>
      </c>
      <c r="AE83" s="228">
        <f t="shared" si="10"/>
        <v>2.0500578745773583</v>
      </c>
    </row>
    <row r="84" spans="2:31" ht="15">
      <c r="B84" s="273" t="s">
        <v>34</v>
      </c>
      <c r="C84" s="277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4">
        <f>SUM(C84:N84)</f>
        <v>0</v>
      </c>
      <c r="P84" s="5" t="e">
        <f>+O84/$O$96</f>
        <v>#DIV/0!</v>
      </c>
      <c r="Q84" s="12"/>
      <c r="R84" s="217" t="s">
        <v>155</v>
      </c>
      <c r="S84" s="225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7"/>
      <c r="AE84" s="229"/>
    </row>
    <row r="85" spans="2:31" ht="15">
      <c r="B85" s="276"/>
      <c r="C85" s="277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4"/>
      <c r="P85" s="5"/>
      <c r="Q85" s="12"/>
      <c r="R85" s="211" t="s">
        <v>33</v>
      </c>
      <c r="S85" s="225">
        <v>0</v>
      </c>
      <c r="T85" s="230">
        <v>0</v>
      </c>
      <c r="U85" s="230">
        <v>0</v>
      </c>
      <c r="V85" s="230">
        <v>0</v>
      </c>
      <c r="W85" s="230">
        <v>0</v>
      </c>
      <c r="X85" s="230">
        <v>0</v>
      </c>
      <c r="Y85" s="230">
        <v>0</v>
      </c>
      <c r="Z85" s="230">
        <v>0</v>
      </c>
      <c r="AA85" s="230">
        <v>0</v>
      </c>
      <c r="AB85" s="230">
        <v>0</v>
      </c>
      <c r="AC85" s="230">
        <v>0</v>
      </c>
      <c r="AD85" s="231">
        <v>0</v>
      </c>
      <c r="AE85" s="228">
        <v>0</v>
      </c>
    </row>
    <row r="86" spans="2:31" ht="15.75">
      <c r="B86" s="66" t="s">
        <v>28</v>
      </c>
      <c r="C86" s="277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4"/>
      <c r="P86" s="5"/>
      <c r="Q86" s="12"/>
      <c r="R86" s="217" t="s">
        <v>34</v>
      </c>
      <c r="S86" s="225">
        <v>0</v>
      </c>
      <c r="T86" s="230">
        <v>0</v>
      </c>
      <c r="U86" s="230">
        <v>0</v>
      </c>
      <c r="V86" s="230">
        <v>0</v>
      </c>
      <c r="W86" s="230">
        <v>0</v>
      </c>
      <c r="X86" s="230">
        <v>0</v>
      </c>
      <c r="Y86" s="230">
        <v>0</v>
      </c>
      <c r="Z86" s="230">
        <v>0</v>
      </c>
      <c r="AA86" s="230">
        <v>0</v>
      </c>
      <c r="AB86" s="230">
        <v>0</v>
      </c>
      <c r="AC86" s="230">
        <v>0</v>
      </c>
      <c r="AD86" s="231">
        <v>0</v>
      </c>
      <c r="AE86" s="228">
        <v>0</v>
      </c>
    </row>
    <row r="87" spans="2:31" ht="15.75">
      <c r="B87" s="67" t="s">
        <v>33</v>
      </c>
      <c r="C87" s="68">
        <f aca="true" t="shared" si="11" ref="C87:N87">+C71+C75+C79+C83</f>
        <v>0</v>
      </c>
      <c r="D87" s="69">
        <f t="shared" si="11"/>
        <v>0</v>
      </c>
      <c r="E87" s="69">
        <f t="shared" si="11"/>
        <v>0</v>
      </c>
      <c r="F87" s="69">
        <f t="shared" si="11"/>
        <v>0</v>
      </c>
      <c r="G87" s="69">
        <f t="shared" si="11"/>
        <v>0</v>
      </c>
      <c r="H87" s="69">
        <f t="shared" si="11"/>
        <v>0</v>
      </c>
      <c r="I87" s="69">
        <f t="shared" si="11"/>
        <v>0</v>
      </c>
      <c r="J87" s="69">
        <f t="shared" si="11"/>
        <v>0</v>
      </c>
      <c r="K87" s="69">
        <f t="shared" si="11"/>
        <v>0</v>
      </c>
      <c r="L87" s="69">
        <f t="shared" si="11"/>
        <v>0</v>
      </c>
      <c r="M87" s="69">
        <f t="shared" si="11"/>
        <v>0</v>
      </c>
      <c r="N87" s="69">
        <f t="shared" si="11"/>
        <v>0</v>
      </c>
      <c r="O87" s="70">
        <f>SUM(C87:N87)</f>
        <v>0</v>
      </c>
      <c r="P87" s="71" t="e">
        <f>+P71+P75+P79+P83</f>
        <v>#DIV/0!</v>
      </c>
      <c r="R87" s="211" t="s">
        <v>152</v>
      </c>
      <c r="S87" s="225">
        <v>0</v>
      </c>
      <c r="T87" s="230">
        <v>0</v>
      </c>
      <c r="U87" s="230">
        <v>0</v>
      </c>
      <c r="V87" s="230">
        <v>0</v>
      </c>
      <c r="W87" s="230">
        <v>0</v>
      </c>
      <c r="X87" s="230">
        <v>0</v>
      </c>
      <c r="Y87" s="230">
        <v>0</v>
      </c>
      <c r="Z87" s="230">
        <v>0</v>
      </c>
      <c r="AA87" s="230">
        <v>0</v>
      </c>
      <c r="AB87" s="230">
        <v>0</v>
      </c>
      <c r="AC87" s="230">
        <v>0</v>
      </c>
      <c r="AD87" s="231">
        <v>0</v>
      </c>
      <c r="AE87" s="228">
        <v>0</v>
      </c>
    </row>
    <row r="88" spans="2:31" ht="15.75">
      <c r="B88" s="43" t="s">
        <v>34</v>
      </c>
      <c r="C88" s="68">
        <f aca="true" t="shared" si="12" ref="C88:N88">+C72+C76+C80+C84</f>
        <v>0</v>
      </c>
      <c r="D88" s="69">
        <f t="shared" si="12"/>
        <v>0</v>
      </c>
      <c r="E88" s="69">
        <f t="shared" si="12"/>
        <v>0</v>
      </c>
      <c r="F88" s="69">
        <f t="shared" si="12"/>
        <v>0</v>
      </c>
      <c r="G88" s="69">
        <f t="shared" si="12"/>
        <v>0</v>
      </c>
      <c r="H88" s="69">
        <f t="shared" si="12"/>
        <v>0</v>
      </c>
      <c r="I88" s="69">
        <f t="shared" si="12"/>
        <v>0</v>
      </c>
      <c r="J88" s="69">
        <f t="shared" si="12"/>
        <v>0</v>
      </c>
      <c r="K88" s="69">
        <f t="shared" si="12"/>
        <v>0</v>
      </c>
      <c r="L88" s="69">
        <f t="shared" si="12"/>
        <v>0</v>
      </c>
      <c r="M88" s="69">
        <f t="shared" si="12"/>
        <v>0</v>
      </c>
      <c r="N88" s="69">
        <f t="shared" si="12"/>
        <v>0</v>
      </c>
      <c r="O88" s="70">
        <f>SUM(C88:N88)</f>
        <v>0</v>
      </c>
      <c r="P88" s="71" t="e">
        <f>+P72+P76+P80+P84</f>
        <v>#DIV/0!</v>
      </c>
      <c r="R88" s="232" t="s">
        <v>156</v>
      </c>
      <c r="S88" s="233"/>
      <c r="T88" s="234"/>
      <c r="U88" s="226"/>
      <c r="V88" s="226"/>
      <c r="W88" s="226"/>
      <c r="X88" s="226"/>
      <c r="Y88" s="226"/>
      <c r="Z88" s="226"/>
      <c r="AA88" s="226"/>
      <c r="AB88" s="226"/>
      <c r="AC88" s="226"/>
      <c r="AD88" s="227"/>
      <c r="AE88" s="229"/>
    </row>
    <row r="89" spans="2:31" ht="15.75">
      <c r="B89" s="74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/>
      <c r="P89" s="79"/>
      <c r="R89" s="235" t="s">
        <v>33</v>
      </c>
      <c r="S89" s="236">
        <f>S73+S77+S81</f>
        <v>1192376.1</v>
      </c>
      <c r="T89" s="237">
        <f aca="true" t="shared" si="13" ref="T89:AE89">T73+T77+T81</f>
        <v>1765085</v>
      </c>
      <c r="U89" s="237">
        <f t="shared" si="13"/>
        <v>1034274.5</v>
      </c>
      <c r="V89" s="237">
        <f t="shared" si="13"/>
        <v>1101244.8</v>
      </c>
      <c r="W89" s="237">
        <f t="shared" si="13"/>
        <v>2887510.4</v>
      </c>
      <c r="X89" s="237">
        <f t="shared" si="13"/>
        <v>1636009.5</v>
      </c>
      <c r="Y89" s="237">
        <f t="shared" si="13"/>
        <v>1547046</v>
      </c>
      <c r="Z89" s="237">
        <f t="shared" si="13"/>
        <v>1104120.5</v>
      </c>
      <c r="AA89" s="237">
        <f t="shared" si="13"/>
        <v>912906.88</v>
      </c>
      <c r="AB89" s="237">
        <f t="shared" si="13"/>
        <v>1261924.5</v>
      </c>
      <c r="AC89" s="237">
        <f t="shared" si="13"/>
        <v>1298235.7</v>
      </c>
      <c r="AD89" s="238">
        <f t="shared" si="13"/>
        <v>1027289</v>
      </c>
      <c r="AE89" s="239">
        <f t="shared" si="13"/>
        <v>16768022.88</v>
      </c>
    </row>
    <row r="90" spans="2:31" ht="15">
      <c r="B90" s="279" t="s">
        <v>27</v>
      </c>
      <c r="C90" s="277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4"/>
      <c r="P90" s="5"/>
      <c r="Q90" s="12"/>
      <c r="R90" s="240" t="s">
        <v>34</v>
      </c>
      <c r="S90" s="236">
        <f>S74+S78+S82+S86</f>
        <v>2264589.42</v>
      </c>
      <c r="T90" s="237">
        <f aca="true" t="shared" si="14" ref="T90:AE90">T74+T78+T82+T86</f>
        <v>2989254.67</v>
      </c>
      <c r="U90" s="237">
        <f t="shared" si="14"/>
        <v>1835462.74</v>
      </c>
      <c r="V90" s="237">
        <f t="shared" si="14"/>
        <v>1919441.6700000002</v>
      </c>
      <c r="W90" s="237">
        <f t="shared" si="14"/>
        <v>4395159.52</v>
      </c>
      <c r="X90" s="237">
        <f t="shared" si="14"/>
        <v>2720648.49</v>
      </c>
      <c r="Y90" s="237">
        <f t="shared" si="14"/>
        <v>2693887.1700000004</v>
      </c>
      <c r="Z90" s="237">
        <f t="shared" si="14"/>
        <v>1915384.29</v>
      </c>
      <c r="AA90" s="237">
        <f t="shared" si="14"/>
        <v>1682563.5899999999</v>
      </c>
      <c r="AB90" s="237">
        <f t="shared" si="14"/>
        <v>2268664.64</v>
      </c>
      <c r="AC90" s="237">
        <f t="shared" si="14"/>
        <v>2399267.4299999997</v>
      </c>
      <c r="AD90" s="238">
        <f t="shared" si="14"/>
        <v>1730107.98</v>
      </c>
      <c r="AE90" s="239">
        <f t="shared" si="14"/>
        <v>28814431.609999996</v>
      </c>
    </row>
    <row r="91" spans="2:31" ht="15">
      <c r="B91" s="276" t="s">
        <v>33</v>
      </c>
      <c r="C91" s="277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4">
        <f>SUM(C91:N91)</f>
        <v>0</v>
      </c>
      <c r="P91" s="5" t="e">
        <f>+O91/$O$95</f>
        <v>#DIV/0!</v>
      </c>
      <c r="Q91" s="12"/>
      <c r="R91" s="235" t="s">
        <v>152</v>
      </c>
      <c r="S91" s="236">
        <f>S90/S89</f>
        <v>1.8992240954846376</v>
      </c>
      <c r="T91" s="237">
        <f aca="true" t="shared" si="15" ref="T91:AE91">T90/T89</f>
        <v>1.693547149287428</v>
      </c>
      <c r="U91" s="237">
        <f t="shared" si="15"/>
        <v>1.7746379128558232</v>
      </c>
      <c r="V91" s="237">
        <f t="shared" si="15"/>
        <v>1.7429745593350363</v>
      </c>
      <c r="W91" s="237">
        <f t="shared" si="15"/>
        <v>1.5221276848041827</v>
      </c>
      <c r="X91" s="237">
        <f t="shared" si="15"/>
        <v>1.6629784179126101</v>
      </c>
      <c r="Y91" s="237">
        <f t="shared" si="15"/>
        <v>1.7413103230285334</v>
      </c>
      <c r="Z91" s="237">
        <f t="shared" si="15"/>
        <v>1.734760191482723</v>
      </c>
      <c r="AA91" s="237">
        <f t="shared" si="15"/>
        <v>1.8430834807598337</v>
      </c>
      <c r="AB91" s="237">
        <f t="shared" si="15"/>
        <v>1.7977815946992075</v>
      </c>
      <c r="AC91" s="237">
        <f t="shared" si="15"/>
        <v>1.848098484735861</v>
      </c>
      <c r="AD91" s="238">
        <f t="shared" si="15"/>
        <v>1.6841492316183664</v>
      </c>
      <c r="AE91" s="239">
        <f t="shared" si="15"/>
        <v>1.7184155708881044</v>
      </c>
    </row>
    <row r="92" spans="2:31" ht="15">
      <c r="B92" s="273" t="s">
        <v>34</v>
      </c>
      <c r="C92" s="277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4">
        <f>SUM(C92:N92)</f>
        <v>0</v>
      </c>
      <c r="P92" s="5" t="e">
        <f>+O92/$O$96</f>
        <v>#DIV/0!</v>
      </c>
      <c r="Q92" s="12"/>
      <c r="R92" s="241" t="s">
        <v>157</v>
      </c>
      <c r="S92" s="225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7"/>
      <c r="AE92" s="229"/>
    </row>
    <row r="93" spans="2:31" ht="15">
      <c r="B93" s="273"/>
      <c r="C93" s="277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4"/>
      <c r="P93" s="5"/>
      <c r="Q93" s="12"/>
      <c r="R93" s="211" t="s">
        <v>33</v>
      </c>
      <c r="S93" s="225">
        <v>53007</v>
      </c>
      <c r="T93" s="226">
        <v>176746</v>
      </c>
      <c r="U93" s="226">
        <v>52000</v>
      </c>
      <c r="V93" s="226">
        <v>11200</v>
      </c>
      <c r="W93" s="226">
        <v>27000</v>
      </c>
      <c r="X93" s="226">
        <v>216600</v>
      </c>
      <c r="Y93" s="226">
        <v>202240</v>
      </c>
      <c r="Z93" s="226">
        <v>171010</v>
      </c>
      <c r="AA93" s="226">
        <v>126000</v>
      </c>
      <c r="AB93" s="226">
        <v>57000</v>
      </c>
      <c r="AC93" s="226">
        <v>184640</v>
      </c>
      <c r="AD93" s="227">
        <v>154360</v>
      </c>
      <c r="AE93" s="229">
        <f>SUM(T93:AD93)</f>
        <v>1378796</v>
      </c>
    </row>
    <row r="94" spans="2:31" ht="15.75">
      <c r="B94" s="43" t="s">
        <v>45</v>
      </c>
      <c r="C94" s="277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4"/>
      <c r="P94" s="5"/>
      <c r="Q94" s="12"/>
      <c r="R94" s="217" t="s">
        <v>34</v>
      </c>
      <c r="S94" s="225">
        <v>95493.09</v>
      </c>
      <c r="T94" s="226">
        <v>345630.54</v>
      </c>
      <c r="U94" s="226">
        <v>132444</v>
      </c>
      <c r="V94" s="226">
        <v>23184</v>
      </c>
      <c r="W94" s="226">
        <v>55370</v>
      </c>
      <c r="X94" s="226">
        <v>390946</v>
      </c>
      <c r="Y94" s="226">
        <v>403127.89</v>
      </c>
      <c r="Z94" s="226">
        <v>310436.42</v>
      </c>
      <c r="AA94" s="226">
        <v>286628</v>
      </c>
      <c r="AB94" s="226">
        <v>149636</v>
      </c>
      <c r="AC94" s="242">
        <v>361996</v>
      </c>
      <c r="AD94" s="243">
        <v>278753.2</v>
      </c>
      <c r="AE94" s="244">
        <f>SUM(T94:AD94)</f>
        <v>2738152.0500000003</v>
      </c>
    </row>
    <row r="95" spans="2:31" ht="15.75">
      <c r="B95" s="67" t="s">
        <v>33</v>
      </c>
      <c r="C95" s="68">
        <f aca="true" t="shared" si="16" ref="C95:P95">+C87+C91</f>
        <v>0</v>
      </c>
      <c r="D95" s="69">
        <f t="shared" si="16"/>
        <v>0</v>
      </c>
      <c r="E95" s="69">
        <f t="shared" si="16"/>
        <v>0</v>
      </c>
      <c r="F95" s="69">
        <f t="shared" si="16"/>
        <v>0</v>
      </c>
      <c r="G95" s="69">
        <f t="shared" si="16"/>
        <v>0</v>
      </c>
      <c r="H95" s="69">
        <f t="shared" si="16"/>
        <v>0</v>
      </c>
      <c r="I95" s="69">
        <f t="shared" si="16"/>
        <v>0</v>
      </c>
      <c r="J95" s="69">
        <f t="shared" si="16"/>
        <v>0</v>
      </c>
      <c r="K95" s="69">
        <f t="shared" si="16"/>
        <v>0</v>
      </c>
      <c r="L95" s="69">
        <f t="shared" si="16"/>
        <v>0</v>
      </c>
      <c r="M95" s="69">
        <f t="shared" si="16"/>
        <v>0</v>
      </c>
      <c r="N95" s="69">
        <f t="shared" si="16"/>
        <v>0</v>
      </c>
      <c r="O95" s="68">
        <f t="shared" si="16"/>
        <v>0</v>
      </c>
      <c r="P95" s="71" t="e">
        <f t="shared" si="16"/>
        <v>#DIV/0!</v>
      </c>
      <c r="R95" s="211" t="s">
        <v>152</v>
      </c>
      <c r="S95" s="225">
        <f>S94/S93</f>
        <v>1.8015184786914935</v>
      </c>
      <c r="T95" s="230">
        <f aca="true" t="shared" si="17" ref="T95:AE95">T94/T93</f>
        <v>1.955521143335634</v>
      </c>
      <c r="U95" s="230">
        <f t="shared" si="17"/>
        <v>2.547</v>
      </c>
      <c r="V95" s="230">
        <f t="shared" si="17"/>
        <v>2.07</v>
      </c>
      <c r="W95" s="230">
        <f t="shared" si="17"/>
        <v>2.0507407407407405</v>
      </c>
      <c r="X95" s="230">
        <f t="shared" si="17"/>
        <v>1.804921514312096</v>
      </c>
      <c r="Y95" s="230">
        <f t="shared" si="17"/>
        <v>1.9933143295094937</v>
      </c>
      <c r="Z95" s="230">
        <f t="shared" si="17"/>
        <v>1.8153115022513302</v>
      </c>
      <c r="AA95" s="230">
        <f t="shared" si="17"/>
        <v>2.274825396825397</v>
      </c>
      <c r="AB95" s="230">
        <f t="shared" si="17"/>
        <v>2.62519298245614</v>
      </c>
      <c r="AC95" s="230">
        <f t="shared" si="17"/>
        <v>1.960550259965338</v>
      </c>
      <c r="AD95" s="231">
        <f t="shared" si="17"/>
        <v>1.8058642135268206</v>
      </c>
      <c r="AE95" s="228">
        <f t="shared" si="17"/>
        <v>1.9859007786503589</v>
      </c>
    </row>
    <row r="96" spans="2:31" ht="15.75">
      <c r="B96" s="43" t="s">
        <v>34</v>
      </c>
      <c r="C96" s="68">
        <f aca="true" t="shared" si="18" ref="C96:P96">+C88+C92</f>
        <v>0</v>
      </c>
      <c r="D96" s="69">
        <f t="shared" si="18"/>
        <v>0</v>
      </c>
      <c r="E96" s="69">
        <f t="shared" si="18"/>
        <v>0</v>
      </c>
      <c r="F96" s="69">
        <f t="shared" si="18"/>
        <v>0</v>
      </c>
      <c r="G96" s="69">
        <f t="shared" si="18"/>
        <v>0</v>
      </c>
      <c r="H96" s="69">
        <f t="shared" si="18"/>
        <v>0</v>
      </c>
      <c r="I96" s="69">
        <f t="shared" si="18"/>
        <v>0</v>
      </c>
      <c r="J96" s="69">
        <f t="shared" si="18"/>
        <v>0</v>
      </c>
      <c r="K96" s="69">
        <f t="shared" si="18"/>
        <v>0</v>
      </c>
      <c r="L96" s="69">
        <f t="shared" si="18"/>
        <v>0</v>
      </c>
      <c r="M96" s="69">
        <f t="shared" si="18"/>
        <v>0</v>
      </c>
      <c r="N96" s="69">
        <f t="shared" si="18"/>
        <v>0</v>
      </c>
      <c r="O96" s="68">
        <f t="shared" si="18"/>
        <v>0</v>
      </c>
      <c r="P96" s="71" t="e">
        <f t="shared" si="18"/>
        <v>#DIV/0!</v>
      </c>
      <c r="R96" s="241" t="s">
        <v>158</v>
      </c>
      <c r="S96" s="225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7"/>
      <c r="AE96" s="229"/>
    </row>
    <row r="97" spans="2:31" ht="15.75" thickBot="1">
      <c r="B97" s="264"/>
      <c r="C97" s="280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1"/>
      <c r="P97" s="22"/>
      <c r="Q97" s="12"/>
      <c r="R97" s="211" t="s">
        <v>33</v>
      </c>
      <c r="S97" s="225">
        <v>87216</v>
      </c>
      <c r="T97" s="226">
        <v>84988</v>
      </c>
      <c r="U97" s="226">
        <v>139768</v>
      </c>
      <c r="V97" s="226">
        <v>179800</v>
      </c>
      <c r="W97" s="226">
        <v>195676</v>
      </c>
      <c r="X97" s="226">
        <v>162076</v>
      </c>
      <c r="Y97" s="226">
        <v>282456</v>
      </c>
      <c r="Z97" s="226">
        <v>215392</v>
      </c>
      <c r="AA97" s="226">
        <v>141862</v>
      </c>
      <c r="AB97" s="226">
        <v>163044</v>
      </c>
      <c r="AC97" s="226">
        <v>129045</v>
      </c>
      <c r="AD97" s="227">
        <v>86864</v>
      </c>
      <c r="AE97" s="229">
        <f>SUM(S97:AD97)</f>
        <v>1868187</v>
      </c>
    </row>
    <row r="98" spans="2:31" ht="15.75" thickTop="1">
      <c r="B98" s="1" t="s">
        <v>40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17" t="s">
        <v>34</v>
      </c>
      <c r="S98" s="225">
        <v>155291.12</v>
      </c>
      <c r="T98" s="226">
        <v>141500.2</v>
      </c>
      <c r="U98" s="226">
        <v>235891.84</v>
      </c>
      <c r="V98" s="226">
        <v>309158.52</v>
      </c>
      <c r="W98" s="226">
        <v>331917.36</v>
      </c>
      <c r="X98" s="226">
        <v>287993.12</v>
      </c>
      <c r="Y98" s="226">
        <v>492362.76</v>
      </c>
      <c r="Z98" s="226">
        <v>395011.44</v>
      </c>
      <c r="AA98" s="226">
        <v>263331.04</v>
      </c>
      <c r="AB98" s="226">
        <v>300020.2</v>
      </c>
      <c r="AC98" s="226">
        <v>241066.18</v>
      </c>
      <c r="AD98" s="227">
        <v>162272.8</v>
      </c>
      <c r="AE98" s="229">
        <f>SUM(S98:AD98)</f>
        <v>3315816.5800000005</v>
      </c>
    </row>
    <row r="99" spans="1:31" ht="15">
      <c r="A99" s="257" t="s">
        <v>30</v>
      </c>
      <c r="Q99" s="257" t="s">
        <v>30</v>
      </c>
      <c r="R99" s="211" t="s">
        <v>152</v>
      </c>
      <c r="S99" s="225">
        <f>S98/S97</f>
        <v>1.780534764263438</v>
      </c>
      <c r="T99" s="230">
        <f aca="true" t="shared" si="19" ref="T99:AE99">T98/T97</f>
        <v>1.6649432861109805</v>
      </c>
      <c r="U99" s="230">
        <f t="shared" si="19"/>
        <v>1.6877385381489325</v>
      </c>
      <c r="V99" s="230">
        <f t="shared" si="19"/>
        <v>1.7194578420467186</v>
      </c>
      <c r="W99" s="230">
        <f t="shared" si="19"/>
        <v>1.696259939900652</v>
      </c>
      <c r="X99" s="230">
        <f t="shared" si="19"/>
        <v>1.7769017004368322</v>
      </c>
      <c r="Y99" s="230">
        <f t="shared" si="19"/>
        <v>1.7431485257880874</v>
      </c>
      <c r="Z99" s="230">
        <f t="shared" si="19"/>
        <v>1.8339188084979943</v>
      </c>
      <c r="AA99" s="230">
        <f t="shared" si="19"/>
        <v>1.8562479028915424</v>
      </c>
      <c r="AB99" s="230">
        <f t="shared" si="19"/>
        <v>1.8401180049557175</v>
      </c>
      <c r="AC99" s="230">
        <f t="shared" si="19"/>
        <v>1.8680784222558022</v>
      </c>
      <c r="AD99" s="231">
        <f t="shared" si="19"/>
        <v>1.8681248848775096</v>
      </c>
      <c r="AE99" s="228">
        <f t="shared" si="19"/>
        <v>1.7748847304900421</v>
      </c>
    </row>
    <row r="100" spans="18:31" ht="15">
      <c r="R100" s="241" t="s">
        <v>159</v>
      </c>
      <c r="S100" s="225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7"/>
      <c r="AE100" s="229"/>
    </row>
    <row r="101" spans="18:31" ht="15">
      <c r="R101" s="211" t="s">
        <v>33</v>
      </c>
      <c r="S101" s="225">
        <v>93432</v>
      </c>
      <c r="T101" s="226">
        <v>55840</v>
      </c>
      <c r="U101" s="226">
        <v>120402</v>
      </c>
      <c r="V101" s="226">
        <v>119532</v>
      </c>
      <c r="W101" s="226">
        <v>199304.5</v>
      </c>
      <c r="X101" s="226">
        <v>136703.5</v>
      </c>
      <c r="Y101" s="226">
        <v>88714</v>
      </c>
      <c r="Z101" s="226">
        <v>84409.5</v>
      </c>
      <c r="AA101" s="226">
        <v>117149</v>
      </c>
      <c r="AB101" s="226">
        <v>140694</v>
      </c>
      <c r="AC101" s="226">
        <v>84148</v>
      </c>
      <c r="AD101" s="227">
        <v>184769</v>
      </c>
      <c r="AE101" s="228">
        <f>SUM(S101:AD101)</f>
        <v>1425097.5</v>
      </c>
    </row>
    <row r="102" spans="18:31" ht="15">
      <c r="R102" s="217" t="s">
        <v>34</v>
      </c>
      <c r="S102" s="225">
        <v>171414.5</v>
      </c>
      <c r="T102" s="226">
        <v>88111.8</v>
      </c>
      <c r="U102" s="226">
        <v>195451.09</v>
      </c>
      <c r="V102" s="226">
        <v>211625.44</v>
      </c>
      <c r="W102" s="226">
        <v>348372.77</v>
      </c>
      <c r="X102" s="226">
        <v>237359.15</v>
      </c>
      <c r="Y102" s="226">
        <v>161184.03</v>
      </c>
      <c r="Z102" s="226">
        <v>156639.43</v>
      </c>
      <c r="AA102" s="226">
        <v>221594.99</v>
      </c>
      <c r="AB102" s="226">
        <v>288604.25</v>
      </c>
      <c r="AC102" s="226">
        <v>168047.83</v>
      </c>
      <c r="AD102" s="227">
        <v>376977.2</v>
      </c>
      <c r="AE102" s="228">
        <f>SUM(S102:AD102)</f>
        <v>2625382.48</v>
      </c>
    </row>
    <row r="103" spans="18:31" ht="15">
      <c r="R103" s="211" t="s">
        <v>152</v>
      </c>
      <c r="S103" s="225">
        <f>S102/S101</f>
        <v>1.8346444472985701</v>
      </c>
      <c r="T103" s="230">
        <f aca="true" t="shared" si="20" ref="T103:AE103">T102/T101</f>
        <v>1.5779333810888252</v>
      </c>
      <c r="U103" s="230">
        <f t="shared" si="20"/>
        <v>1.6233209581236192</v>
      </c>
      <c r="V103" s="230">
        <f t="shared" si="20"/>
        <v>1.770450088679182</v>
      </c>
      <c r="W103" s="230">
        <f t="shared" si="20"/>
        <v>1.7479423194157684</v>
      </c>
      <c r="X103" s="230">
        <f t="shared" si="20"/>
        <v>1.7363063125669789</v>
      </c>
      <c r="Y103" s="230">
        <f t="shared" si="20"/>
        <v>1.8168950785670808</v>
      </c>
      <c r="Z103" s="230">
        <f t="shared" si="20"/>
        <v>1.8557085399155306</v>
      </c>
      <c r="AA103" s="230">
        <f t="shared" si="20"/>
        <v>1.8915653569385995</v>
      </c>
      <c r="AB103" s="230">
        <f t="shared" si="20"/>
        <v>2.051290389071318</v>
      </c>
      <c r="AC103" s="230">
        <f t="shared" si="20"/>
        <v>1.997050791462661</v>
      </c>
      <c r="AD103" s="231">
        <f t="shared" si="20"/>
        <v>2.040262165190048</v>
      </c>
      <c r="AE103" s="228">
        <f t="shared" si="20"/>
        <v>1.842247621653957</v>
      </c>
    </row>
    <row r="104" spans="18:31" ht="15">
      <c r="R104" s="232" t="s">
        <v>160</v>
      </c>
      <c r="S104" s="233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7"/>
      <c r="AE104" s="229"/>
    </row>
    <row r="105" spans="18:31" ht="15">
      <c r="R105" s="235" t="s">
        <v>33</v>
      </c>
      <c r="S105" s="236">
        <f>S93+S97+S101</f>
        <v>233655</v>
      </c>
      <c r="T105" s="237">
        <f aca="true" t="shared" si="21" ref="T105:AE106">T93+T97+T101</f>
        <v>317574</v>
      </c>
      <c r="U105" s="237">
        <f t="shared" si="21"/>
        <v>312170</v>
      </c>
      <c r="V105" s="237">
        <f t="shared" si="21"/>
        <v>310532</v>
      </c>
      <c r="W105" s="237">
        <f t="shared" si="21"/>
        <v>421980.5</v>
      </c>
      <c r="X105" s="237">
        <f t="shared" si="21"/>
        <v>515379.5</v>
      </c>
      <c r="Y105" s="237">
        <f t="shared" si="21"/>
        <v>573410</v>
      </c>
      <c r="Z105" s="237">
        <f t="shared" si="21"/>
        <v>470811.5</v>
      </c>
      <c r="AA105" s="237">
        <f t="shared" si="21"/>
        <v>385011</v>
      </c>
      <c r="AB105" s="237">
        <f t="shared" si="21"/>
        <v>360738</v>
      </c>
      <c r="AC105" s="237">
        <f t="shared" si="21"/>
        <v>397833</v>
      </c>
      <c r="AD105" s="238">
        <f t="shared" si="21"/>
        <v>425993</v>
      </c>
      <c r="AE105" s="239">
        <f t="shared" si="21"/>
        <v>4672080.5</v>
      </c>
    </row>
    <row r="106" spans="18:31" ht="15">
      <c r="R106" s="240" t="s">
        <v>34</v>
      </c>
      <c r="S106" s="236">
        <f>S94+S98+S102</f>
        <v>422198.70999999996</v>
      </c>
      <c r="T106" s="237">
        <f t="shared" si="21"/>
        <v>575242.54</v>
      </c>
      <c r="U106" s="237">
        <f t="shared" si="21"/>
        <v>563786.9299999999</v>
      </c>
      <c r="V106" s="237">
        <f t="shared" si="21"/>
        <v>543967.96</v>
      </c>
      <c r="W106" s="237">
        <f t="shared" si="21"/>
        <v>735660.13</v>
      </c>
      <c r="X106" s="237">
        <f t="shared" si="21"/>
        <v>916298.27</v>
      </c>
      <c r="Y106" s="237">
        <f t="shared" si="21"/>
        <v>1056674.68</v>
      </c>
      <c r="Z106" s="237">
        <f t="shared" si="21"/>
        <v>862087.29</v>
      </c>
      <c r="AA106" s="237">
        <f t="shared" si="21"/>
        <v>771554.03</v>
      </c>
      <c r="AB106" s="237">
        <f t="shared" si="21"/>
        <v>738260.45</v>
      </c>
      <c r="AC106" s="237">
        <f t="shared" si="21"/>
        <v>771110.0099999999</v>
      </c>
      <c r="AD106" s="238">
        <f t="shared" si="21"/>
        <v>818003.2</v>
      </c>
      <c r="AE106" s="239">
        <f t="shared" si="21"/>
        <v>8679351.110000001</v>
      </c>
    </row>
    <row r="107" spans="18:31" ht="15">
      <c r="R107" s="235" t="s">
        <v>152</v>
      </c>
      <c r="S107" s="236">
        <f>S106/S105</f>
        <v>1.806932057948685</v>
      </c>
      <c r="T107" s="237">
        <f aca="true" t="shared" si="22" ref="T107:AE107">T106/T105</f>
        <v>1.8113653510677827</v>
      </c>
      <c r="U107" s="237">
        <f t="shared" si="22"/>
        <v>1.8060253387577279</v>
      </c>
      <c r="V107" s="237">
        <f t="shared" si="22"/>
        <v>1.7517291615678898</v>
      </c>
      <c r="W107" s="237">
        <f t="shared" si="22"/>
        <v>1.7433510079257217</v>
      </c>
      <c r="X107" s="237">
        <f t="shared" si="22"/>
        <v>1.777909812089926</v>
      </c>
      <c r="Y107" s="237">
        <f t="shared" si="22"/>
        <v>1.8427908128564203</v>
      </c>
      <c r="Z107" s="237">
        <f t="shared" si="22"/>
        <v>1.8310667645119119</v>
      </c>
      <c r="AA107" s="237">
        <f t="shared" si="22"/>
        <v>2.0039791850102984</v>
      </c>
      <c r="AB107" s="237">
        <f t="shared" si="22"/>
        <v>2.046528089638463</v>
      </c>
      <c r="AC107" s="237">
        <f t="shared" si="22"/>
        <v>1.9382756332430942</v>
      </c>
      <c r="AD107" s="238">
        <f t="shared" si="22"/>
        <v>1.9202268581878106</v>
      </c>
      <c r="AE107" s="239">
        <f t="shared" si="22"/>
        <v>1.8577058143582932</v>
      </c>
    </row>
    <row r="108" spans="18:31" ht="15">
      <c r="R108" s="245" t="s">
        <v>161</v>
      </c>
      <c r="S108" s="233"/>
      <c r="T108" s="234"/>
      <c r="U108" s="234"/>
      <c r="V108" s="226"/>
      <c r="W108" s="226"/>
      <c r="X108" s="226"/>
      <c r="Y108" s="226"/>
      <c r="Z108" s="226"/>
      <c r="AA108" s="226"/>
      <c r="AB108" s="226"/>
      <c r="AC108" s="226"/>
      <c r="AD108" s="227"/>
      <c r="AE108" s="229"/>
    </row>
    <row r="109" spans="18:31" ht="15">
      <c r="R109" s="246" t="s">
        <v>33</v>
      </c>
      <c r="S109" s="247">
        <f>S89+S105</f>
        <v>1426031.1</v>
      </c>
      <c r="T109" s="248">
        <f aca="true" t="shared" si="23" ref="T109:AE110">T89+T105</f>
        <v>2082659</v>
      </c>
      <c r="U109" s="248">
        <f t="shared" si="23"/>
        <v>1346444.5</v>
      </c>
      <c r="V109" s="248">
        <f t="shared" si="23"/>
        <v>1411776.8</v>
      </c>
      <c r="W109" s="248">
        <f t="shared" si="23"/>
        <v>3309490.9</v>
      </c>
      <c r="X109" s="248">
        <f t="shared" si="23"/>
        <v>2151389</v>
      </c>
      <c r="Y109" s="248">
        <f t="shared" si="23"/>
        <v>2120456</v>
      </c>
      <c r="Z109" s="248">
        <f t="shared" si="23"/>
        <v>1574932</v>
      </c>
      <c r="AA109" s="248">
        <f t="shared" si="23"/>
        <v>1297917.88</v>
      </c>
      <c r="AB109" s="248">
        <f t="shared" si="23"/>
        <v>1622662.5</v>
      </c>
      <c r="AC109" s="248">
        <f t="shared" si="23"/>
        <v>1696068.7</v>
      </c>
      <c r="AD109" s="249">
        <f t="shared" si="23"/>
        <v>1453282</v>
      </c>
      <c r="AE109" s="250">
        <f t="shared" si="23"/>
        <v>21440103.380000003</v>
      </c>
    </row>
    <row r="110" spans="18:31" ht="15">
      <c r="R110" s="251" t="s">
        <v>34</v>
      </c>
      <c r="S110" s="247">
        <f>S90+S106</f>
        <v>2686788.13</v>
      </c>
      <c r="T110" s="248">
        <f t="shared" si="23"/>
        <v>3564497.21</v>
      </c>
      <c r="U110" s="248">
        <f t="shared" si="23"/>
        <v>2399249.67</v>
      </c>
      <c r="V110" s="248">
        <f t="shared" si="23"/>
        <v>2463409.63</v>
      </c>
      <c r="W110" s="248">
        <f t="shared" si="23"/>
        <v>5130819.649999999</v>
      </c>
      <c r="X110" s="248">
        <f t="shared" si="23"/>
        <v>3636946.7600000002</v>
      </c>
      <c r="Y110" s="248">
        <f t="shared" si="23"/>
        <v>3750561.8500000006</v>
      </c>
      <c r="Z110" s="248">
        <f t="shared" si="23"/>
        <v>2777471.58</v>
      </c>
      <c r="AA110" s="248">
        <f t="shared" si="23"/>
        <v>2454117.62</v>
      </c>
      <c r="AB110" s="248">
        <f t="shared" si="23"/>
        <v>3006925.09</v>
      </c>
      <c r="AC110" s="248">
        <f t="shared" si="23"/>
        <v>3170377.4399999995</v>
      </c>
      <c r="AD110" s="249">
        <f t="shared" si="23"/>
        <v>2548111.1799999997</v>
      </c>
      <c r="AE110" s="250">
        <f t="shared" si="23"/>
        <v>37493782.72</v>
      </c>
    </row>
    <row r="111" spans="18:31" ht="15.75" thickBot="1">
      <c r="R111" s="246" t="s">
        <v>152</v>
      </c>
      <c r="S111" s="252">
        <f>S110/S109</f>
        <v>1.8841020578022454</v>
      </c>
      <c r="T111" s="253">
        <f aca="true" t="shared" si="24" ref="T111:AE111">T110/T109</f>
        <v>1.7115126432123549</v>
      </c>
      <c r="U111" s="253">
        <f t="shared" si="24"/>
        <v>1.7819150139497022</v>
      </c>
      <c r="V111" s="253">
        <f t="shared" si="24"/>
        <v>1.7449002066048966</v>
      </c>
      <c r="W111" s="253">
        <f t="shared" si="24"/>
        <v>1.5503350228278312</v>
      </c>
      <c r="X111" s="253">
        <f t="shared" si="24"/>
        <v>1.6905109954545645</v>
      </c>
      <c r="Y111" s="253">
        <f t="shared" si="24"/>
        <v>1.76875249946238</v>
      </c>
      <c r="Z111" s="253">
        <f t="shared" si="24"/>
        <v>1.7635501596259395</v>
      </c>
      <c r="AA111" s="253">
        <f t="shared" si="24"/>
        <v>1.8908111659575877</v>
      </c>
      <c r="AB111" s="253">
        <f t="shared" si="24"/>
        <v>1.853081025783242</v>
      </c>
      <c r="AC111" s="253">
        <f t="shared" si="24"/>
        <v>1.8692506028794704</v>
      </c>
      <c r="AD111" s="254">
        <f t="shared" si="24"/>
        <v>1.7533494394068045</v>
      </c>
      <c r="AE111" s="255">
        <f t="shared" si="24"/>
        <v>1.7487687468417419</v>
      </c>
    </row>
  </sheetData>
  <sheetProtection/>
  <printOptions/>
  <pageMargins left="0.75" right="0.75" top="1" bottom="1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27">
      <selection activeCell="E8" sqref="E8"/>
    </sheetView>
  </sheetViews>
  <sheetFormatPr defaultColWidth="11.5546875" defaultRowHeight="15"/>
  <cols>
    <col min="1" max="1" width="4.3359375" style="0" customWidth="1"/>
    <col min="2" max="2" width="13.99609375" style="0" customWidth="1"/>
    <col min="3" max="3" width="6.99609375" style="0" customWidth="1"/>
    <col min="4" max="4" width="10.77734375" style="0" bestFit="1" customWidth="1"/>
    <col min="5" max="5" width="8.21484375" style="0" customWidth="1"/>
    <col min="6" max="6" width="7.99609375" style="0" customWidth="1"/>
    <col min="7" max="7" width="7.5546875" style="0" customWidth="1"/>
    <col min="8" max="8" width="7.77734375" style="0" customWidth="1"/>
    <col min="9" max="9" width="11.6640625" style="0" customWidth="1"/>
    <col min="10" max="10" width="7.6640625" style="0" customWidth="1"/>
    <col min="11" max="11" width="8.6640625" style="0" customWidth="1"/>
    <col min="12" max="12" width="7.6640625" style="0" customWidth="1"/>
    <col min="13" max="13" width="9.10546875" style="0" customWidth="1"/>
    <col min="14" max="14" width="10.214843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110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284" t="s">
        <v>3</v>
      </c>
      <c r="D4" s="282" t="s">
        <v>4</v>
      </c>
      <c r="E4" s="282" t="s">
        <v>5</v>
      </c>
      <c r="F4" s="282" t="s">
        <v>6</v>
      </c>
      <c r="G4" s="282" t="s">
        <v>7</v>
      </c>
      <c r="H4" s="282" t="s">
        <v>8</v>
      </c>
      <c r="I4" s="282" t="s">
        <v>9</v>
      </c>
      <c r="J4" s="282" t="s">
        <v>10</v>
      </c>
      <c r="K4" s="283" t="s">
        <v>11</v>
      </c>
      <c r="L4" s="283" t="s">
        <v>12</v>
      </c>
      <c r="M4" s="283" t="s">
        <v>13</v>
      </c>
      <c r="N4" s="283" t="s">
        <v>14</v>
      </c>
      <c r="O4" s="283" t="s">
        <v>15</v>
      </c>
      <c r="P4" s="283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307" customFormat="1" ht="15.7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54"/>
      <c r="S5" s="54"/>
      <c r="T5" s="54"/>
      <c r="U5" s="54"/>
      <c r="V5" s="306"/>
      <c r="W5" s="54"/>
      <c r="X5" s="54"/>
      <c r="Y5" s="54"/>
      <c r="Z5" s="54"/>
      <c r="AA5" s="54"/>
      <c r="AB5" s="306"/>
      <c r="AC5" s="54"/>
      <c r="AD5" s="54"/>
      <c r="AE5" s="54"/>
      <c r="AF5" s="54"/>
      <c r="AG5" s="54"/>
      <c r="AH5" s="54"/>
      <c r="AI5" s="54"/>
    </row>
    <row r="6" spans="1:35" s="307" customFormat="1" ht="15">
      <c r="A6" s="157"/>
      <c r="B6" s="157" t="s">
        <v>17</v>
      </c>
      <c r="C6" s="204">
        <v>165007</v>
      </c>
      <c r="D6" s="204">
        <v>161720</v>
      </c>
      <c r="E6" s="204">
        <v>172325</v>
      </c>
      <c r="F6" s="204">
        <v>149859</v>
      </c>
      <c r="G6" s="204">
        <v>178527</v>
      </c>
      <c r="H6" s="204">
        <v>140963</v>
      </c>
      <c r="I6" s="204">
        <v>108116</v>
      </c>
      <c r="J6" s="204">
        <v>94900</v>
      </c>
      <c r="K6" s="204">
        <v>100664</v>
      </c>
      <c r="L6" s="204">
        <v>159766</v>
      </c>
      <c r="M6" s="204">
        <v>159079</v>
      </c>
      <c r="N6" s="204">
        <v>200392</v>
      </c>
      <c r="O6" s="198">
        <f aca="true" t="shared" si="0" ref="O6:O13">SUM(C6:N6)</f>
        <v>1791318</v>
      </c>
      <c r="P6" s="308">
        <f aca="true" t="shared" si="1" ref="P6:P15">+O6/$O$19</f>
        <v>0.10554162805914384</v>
      </c>
      <c r="Q6" s="204"/>
      <c r="R6" s="54"/>
      <c r="S6" s="54"/>
      <c r="T6" s="96"/>
      <c r="U6" s="30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s="307" customFormat="1" ht="15">
      <c r="A7" s="157"/>
      <c r="B7" s="157" t="s">
        <v>18</v>
      </c>
      <c r="C7" s="204">
        <v>108256</v>
      </c>
      <c r="D7" s="204">
        <v>120648</v>
      </c>
      <c r="E7" s="204">
        <v>126679</v>
      </c>
      <c r="F7" s="204">
        <v>102085</v>
      </c>
      <c r="G7" s="204">
        <v>139715</v>
      </c>
      <c r="H7" s="204">
        <v>117652</v>
      </c>
      <c r="I7" s="204">
        <v>85047</v>
      </c>
      <c r="J7" s="204">
        <v>68698</v>
      </c>
      <c r="K7" s="204">
        <v>60971</v>
      </c>
      <c r="L7" s="204">
        <v>111684</v>
      </c>
      <c r="M7" s="204">
        <v>80528</v>
      </c>
      <c r="N7" s="204">
        <v>97166</v>
      </c>
      <c r="O7" s="198">
        <f t="shared" si="0"/>
        <v>1219129</v>
      </c>
      <c r="P7" s="308">
        <f t="shared" si="1"/>
        <v>0.07182915566868416</v>
      </c>
      <c r="Q7" s="204"/>
      <c r="R7" s="54"/>
      <c r="S7" s="54"/>
      <c r="T7" s="96"/>
      <c r="U7" s="309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s="307" customFormat="1" ht="15">
      <c r="A8" s="157"/>
      <c r="B8" s="157" t="s">
        <v>19</v>
      </c>
      <c r="C8" s="204">
        <v>100669</v>
      </c>
      <c r="D8" s="204">
        <v>118831</v>
      </c>
      <c r="E8" s="204">
        <v>140415</v>
      </c>
      <c r="F8" s="204">
        <v>132137</v>
      </c>
      <c r="G8" s="204">
        <v>158350</v>
      </c>
      <c r="H8" s="204">
        <v>131544</v>
      </c>
      <c r="I8" s="204">
        <v>97227</v>
      </c>
      <c r="J8" s="204">
        <v>100417</v>
      </c>
      <c r="K8" s="204">
        <v>93056</v>
      </c>
      <c r="L8" s="204">
        <v>117280</v>
      </c>
      <c r="M8" s="204">
        <v>92026</v>
      </c>
      <c r="N8" s="204">
        <v>115872</v>
      </c>
      <c r="O8" s="198">
        <f t="shared" si="0"/>
        <v>1397824</v>
      </c>
      <c r="P8" s="308">
        <f t="shared" si="1"/>
        <v>0.08235758290830812</v>
      </c>
      <c r="Q8" s="204"/>
      <c r="R8" s="54"/>
      <c r="S8" s="54"/>
      <c r="T8" s="96"/>
      <c r="U8" s="309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307" customFormat="1" ht="15">
      <c r="A9" s="157"/>
      <c r="B9" s="157" t="s">
        <v>20</v>
      </c>
      <c r="C9" s="204">
        <v>136152</v>
      </c>
      <c r="D9" s="204">
        <v>110179</v>
      </c>
      <c r="E9" s="204">
        <v>155011</v>
      </c>
      <c r="F9" s="204">
        <v>128276</v>
      </c>
      <c r="G9" s="204">
        <v>170052</v>
      </c>
      <c r="H9" s="204">
        <v>134854</v>
      </c>
      <c r="I9" s="204">
        <v>71387.5</v>
      </c>
      <c r="J9" s="204">
        <v>76808</v>
      </c>
      <c r="K9" s="204">
        <v>84881</v>
      </c>
      <c r="L9" s="204">
        <v>113662</v>
      </c>
      <c r="M9" s="204">
        <v>114587</v>
      </c>
      <c r="N9" s="204">
        <v>165176</v>
      </c>
      <c r="O9" s="198">
        <f t="shared" si="0"/>
        <v>1461025.5</v>
      </c>
      <c r="P9" s="308">
        <f t="shared" si="1"/>
        <v>0.08608131549279617</v>
      </c>
      <c r="Q9" s="204"/>
      <c r="R9" s="54"/>
      <c r="S9" s="54"/>
      <c r="T9" s="96"/>
      <c r="U9" s="30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307" customFormat="1" ht="15">
      <c r="A10" s="157"/>
      <c r="B10" s="157" t="s">
        <v>21</v>
      </c>
      <c r="C10" s="204">
        <v>195917</v>
      </c>
      <c r="D10" s="204">
        <v>187504</v>
      </c>
      <c r="E10" s="204">
        <v>239429</v>
      </c>
      <c r="F10" s="204">
        <v>220319</v>
      </c>
      <c r="G10" s="204">
        <v>310348</v>
      </c>
      <c r="H10" s="204">
        <v>244462</v>
      </c>
      <c r="I10" s="204">
        <v>153527</v>
      </c>
      <c r="J10" s="204">
        <v>162107</v>
      </c>
      <c r="K10" s="204">
        <v>135904</v>
      </c>
      <c r="L10" s="204">
        <v>196116</v>
      </c>
      <c r="M10" s="204">
        <v>269333</v>
      </c>
      <c r="N10" s="204">
        <v>292236</v>
      </c>
      <c r="O10" s="198">
        <f t="shared" si="0"/>
        <v>2607202</v>
      </c>
      <c r="P10" s="308">
        <f t="shared" si="1"/>
        <v>0.15361222505387426</v>
      </c>
      <c r="Q10" s="204"/>
      <c r="R10" s="54"/>
      <c r="S10" s="54"/>
      <c r="T10" s="96"/>
      <c r="U10" s="30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307" customFormat="1" ht="15">
      <c r="A11" s="157"/>
      <c r="B11" s="157" t="s">
        <v>22</v>
      </c>
      <c r="C11" s="204">
        <v>94870</v>
      </c>
      <c r="D11" s="204">
        <v>75543</v>
      </c>
      <c r="E11" s="204">
        <v>86062</v>
      </c>
      <c r="F11" s="204">
        <v>68669</v>
      </c>
      <c r="G11" s="204">
        <v>87657</v>
      </c>
      <c r="H11" s="204">
        <v>74377</v>
      </c>
      <c r="I11" s="204">
        <v>39641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198">
        <f t="shared" si="0"/>
        <v>526819</v>
      </c>
      <c r="P11" s="308">
        <f t="shared" si="1"/>
        <v>0.031039343629936225</v>
      </c>
      <c r="Q11" s="204"/>
      <c r="R11" s="54"/>
      <c r="S11" s="54"/>
      <c r="T11" s="96"/>
      <c r="U11" s="30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307" customFormat="1" ht="15">
      <c r="A12" s="157"/>
      <c r="B12" s="157" t="s">
        <v>23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198">
        <f t="shared" si="0"/>
        <v>0</v>
      </c>
      <c r="P12" s="308">
        <f t="shared" si="1"/>
        <v>0</v>
      </c>
      <c r="Q12" s="204"/>
      <c r="R12" s="54"/>
      <c r="S12" s="54"/>
      <c r="T12" s="96"/>
      <c r="U12" s="30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307" customFormat="1" ht="15">
      <c r="A13" s="157"/>
      <c r="B13" s="157" t="s">
        <v>24</v>
      </c>
      <c r="C13" s="204">
        <v>145978</v>
      </c>
      <c r="D13" s="204">
        <v>142508</v>
      </c>
      <c r="E13" s="204">
        <v>129031</v>
      </c>
      <c r="F13" s="204">
        <v>114356</v>
      </c>
      <c r="G13" s="208">
        <v>152102</v>
      </c>
      <c r="H13" s="204">
        <v>130977</v>
      </c>
      <c r="I13" s="204">
        <v>93561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198">
        <f t="shared" si="0"/>
        <v>908513</v>
      </c>
      <c r="P13" s="308">
        <f t="shared" si="1"/>
        <v>0.053528151413036074</v>
      </c>
      <c r="Q13" s="204"/>
      <c r="R13" s="54"/>
      <c r="S13" s="54"/>
      <c r="T13" s="96"/>
      <c r="U13" s="309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s="307" customFormat="1" ht="15">
      <c r="A14" s="157"/>
      <c r="B14" s="157" t="s">
        <v>25</v>
      </c>
      <c r="C14" s="204">
        <v>231754</v>
      </c>
      <c r="D14" s="204">
        <v>184071</v>
      </c>
      <c r="E14" s="204">
        <v>235911</v>
      </c>
      <c r="F14" s="204">
        <v>185705</v>
      </c>
      <c r="G14" s="204">
        <v>216482</v>
      </c>
      <c r="H14" s="204">
        <v>191058</v>
      </c>
      <c r="I14" s="204">
        <v>131781</v>
      </c>
      <c r="J14" s="204">
        <v>92485</v>
      </c>
      <c r="K14" s="204">
        <v>90588</v>
      </c>
      <c r="L14" s="204">
        <v>133504</v>
      </c>
      <c r="M14" s="204">
        <v>145660</v>
      </c>
      <c r="N14" s="204">
        <v>176206</v>
      </c>
      <c r="O14" s="198">
        <f>SUM(C14:N14)</f>
        <v>2015205</v>
      </c>
      <c r="P14" s="308">
        <f t="shared" si="1"/>
        <v>0.11873269658035422</v>
      </c>
      <c r="Q14" s="204"/>
      <c r="R14" s="54"/>
      <c r="S14" s="54"/>
      <c r="T14" s="96"/>
      <c r="U14" s="309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66" s="316" customFormat="1" ht="15">
      <c r="A15" s="200"/>
      <c r="B15" s="310" t="s">
        <v>26</v>
      </c>
      <c r="C15" s="311">
        <f aca="true" t="shared" si="2" ref="C15:O15">SUM(C6:C14)</f>
        <v>1178603</v>
      </c>
      <c r="D15" s="311">
        <f t="shared" si="2"/>
        <v>1101004</v>
      </c>
      <c r="E15" s="311">
        <f t="shared" si="2"/>
        <v>1284863</v>
      </c>
      <c r="F15" s="311">
        <f t="shared" si="2"/>
        <v>1101406</v>
      </c>
      <c r="G15" s="311">
        <f t="shared" si="2"/>
        <v>1413233</v>
      </c>
      <c r="H15" s="311">
        <f t="shared" si="2"/>
        <v>1165887</v>
      </c>
      <c r="I15" s="311">
        <f t="shared" si="2"/>
        <v>780287.5</v>
      </c>
      <c r="J15" s="311">
        <f t="shared" si="2"/>
        <v>595415</v>
      </c>
      <c r="K15" s="311">
        <f t="shared" si="2"/>
        <v>566064</v>
      </c>
      <c r="L15" s="311">
        <f t="shared" si="2"/>
        <v>832012</v>
      </c>
      <c r="M15" s="311">
        <f t="shared" si="2"/>
        <v>861213</v>
      </c>
      <c r="N15" s="311">
        <f t="shared" si="2"/>
        <v>1047048</v>
      </c>
      <c r="O15" s="311">
        <f t="shared" si="2"/>
        <v>11927035.5</v>
      </c>
      <c r="P15" s="312">
        <f t="shared" si="1"/>
        <v>0.7027220988061331</v>
      </c>
      <c r="Q15" s="313"/>
      <c r="R15" s="118"/>
      <c r="S15" s="118"/>
      <c r="T15" s="119"/>
      <c r="U15" s="314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1:66" s="316" customFormat="1" ht="1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313"/>
      <c r="R16" s="118"/>
      <c r="S16" s="118"/>
      <c r="T16" s="119"/>
      <c r="U16" s="314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</row>
    <row r="17" spans="1:35" s="307" customFormat="1" ht="15">
      <c r="A17" s="157"/>
      <c r="B17" s="157" t="s">
        <v>27</v>
      </c>
      <c r="C17" s="318">
        <v>332207</v>
      </c>
      <c r="D17" s="318">
        <v>262001</v>
      </c>
      <c r="E17" s="318">
        <v>426954</v>
      </c>
      <c r="F17" s="318">
        <v>483465</v>
      </c>
      <c r="G17" s="318">
        <v>507836</v>
      </c>
      <c r="H17" s="318">
        <v>432548</v>
      </c>
      <c r="I17" s="318">
        <v>239913</v>
      </c>
      <c r="J17" s="318">
        <v>361640</v>
      </c>
      <c r="K17" s="318">
        <v>360451</v>
      </c>
      <c r="L17" s="319">
        <v>513064</v>
      </c>
      <c r="M17" s="319">
        <v>503970</v>
      </c>
      <c r="N17" s="319">
        <v>621536</v>
      </c>
      <c r="O17" s="198">
        <f>SUM(C17:N17)</f>
        <v>5045585</v>
      </c>
      <c r="P17" s="308">
        <f>+O17/$O$19</f>
        <v>0.29727790119386693</v>
      </c>
      <c r="Q17" s="20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s="307" customFormat="1" ht="15">
      <c r="A18" s="157"/>
      <c r="B18" s="157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8"/>
      <c r="P18" s="320"/>
      <c r="Q18" s="204"/>
      <c r="R18" s="54"/>
      <c r="S18" s="54"/>
      <c r="T18" s="96"/>
      <c r="U18" s="309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s="307" customFormat="1" ht="15">
      <c r="A19" s="157"/>
      <c r="B19" s="196" t="s">
        <v>28</v>
      </c>
      <c r="C19" s="321">
        <f aca="true" t="shared" si="3" ref="C19:P19">+C15+C17</f>
        <v>1510810</v>
      </c>
      <c r="D19" s="321">
        <f t="shared" si="3"/>
        <v>1363005</v>
      </c>
      <c r="E19" s="321">
        <f t="shared" si="3"/>
        <v>1711817</v>
      </c>
      <c r="F19" s="321">
        <f t="shared" si="3"/>
        <v>1584871</v>
      </c>
      <c r="G19" s="321">
        <f t="shared" si="3"/>
        <v>1921069</v>
      </c>
      <c r="H19" s="321">
        <f t="shared" si="3"/>
        <v>1598435</v>
      </c>
      <c r="I19" s="321">
        <f t="shared" si="3"/>
        <v>1020200.5</v>
      </c>
      <c r="J19" s="321">
        <f t="shared" si="3"/>
        <v>957055</v>
      </c>
      <c r="K19" s="321">
        <f t="shared" si="3"/>
        <v>926515</v>
      </c>
      <c r="L19" s="321">
        <f t="shared" si="3"/>
        <v>1345076</v>
      </c>
      <c r="M19" s="321">
        <f t="shared" si="3"/>
        <v>1365183</v>
      </c>
      <c r="N19" s="321">
        <f t="shared" si="3"/>
        <v>1668584</v>
      </c>
      <c r="O19" s="321">
        <f t="shared" si="3"/>
        <v>16972620.5</v>
      </c>
      <c r="P19" s="322">
        <f t="shared" si="3"/>
        <v>1</v>
      </c>
      <c r="Q19" s="20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s="307" customFormat="1" ht="15">
      <c r="A20" s="157"/>
      <c r="B20" s="197" t="s">
        <v>50</v>
      </c>
      <c r="C20" s="323">
        <f>C19</f>
        <v>1510810</v>
      </c>
      <c r="D20" s="323">
        <f aca="true" t="shared" si="4" ref="D20:O20">C20+D19</f>
        <v>2873815</v>
      </c>
      <c r="E20" s="323">
        <f t="shared" si="4"/>
        <v>4585632</v>
      </c>
      <c r="F20" s="323">
        <f t="shared" si="4"/>
        <v>6170503</v>
      </c>
      <c r="G20" s="323">
        <f t="shared" si="4"/>
        <v>8091572</v>
      </c>
      <c r="H20" s="323">
        <f t="shared" si="4"/>
        <v>9690007</v>
      </c>
      <c r="I20" s="323">
        <f t="shared" si="4"/>
        <v>10710207.5</v>
      </c>
      <c r="J20" s="323">
        <f t="shared" si="4"/>
        <v>11667262.5</v>
      </c>
      <c r="K20" s="323">
        <f t="shared" si="4"/>
        <v>12593777.5</v>
      </c>
      <c r="L20" s="323">
        <f t="shared" si="4"/>
        <v>13938853.5</v>
      </c>
      <c r="M20" s="323">
        <f t="shared" si="4"/>
        <v>15304036.5</v>
      </c>
      <c r="N20" s="323">
        <f t="shared" si="4"/>
        <v>16972620.5</v>
      </c>
      <c r="O20" s="323">
        <f t="shared" si="4"/>
        <v>33945241</v>
      </c>
      <c r="P20" s="322"/>
      <c r="Q20" s="20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307" customFormat="1" ht="15.7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3"/>
      <c r="B23" s="121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2" t="s">
        <v>30</v>
      </c>
      <c r="B24" s="122"/>
      <c r="C24" s="123"/>
      <c r="D24" s="123"/>
      <c r="E24" s="123"/>
      <c r="F24" s="123"/>
      <c r="G24" s="123"/>
      <c r="H24" s="207"/>
      <c r="I24" s="123"/>
      <c r="J24" s="123"/>
      <c r="K24" s="123"/>
      <c r="L24" s="123"/>
      <c r="M24" s="123"/>
      <c r="N24" s="123"/>
      <c r="O24" s="123"/>
      <c r="P24" s="122" t="s">
        <v>30</v>
      </c>
      <c r="Q24" s="1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/>
      <c r="B25" s="123"/>
      <c r="C25" s="124" t="s">
        <v>111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2006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307" customFormat="1" ht="15.7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198">
        <f aca="true" t="shared" si="5" ref="O29:O39">SUM(C29:N29)</f>
        <v>0</v>
      </c>
      <c r="P29" s="308">
        <f aca="true" t="shared" si="6" ref="P29:P40">+O29/$O$49</f>
        <v>0</v>
      </c>
      <c r="Q29" s="20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s="307" customFormat="1" ht="15">
      <c r="A30" s="157"/>
      <c r="B30" s="157" t="s">
        <v>17</v>
      </c>
      <c r="C30" s="204">
        <v>746400</v>
      </c>
      <c r="D30" s="204">
        <v>735738</v>
      </c>
      <c r="E30" s="204">
        <v>773120</v>
      </c>
      <c r="F30" s="204">
        <v>691403</v>
      </c>
      <c r="G30" s="204">
        <v>832796</v>
      </c>
      <c r="H30" s="204">
        <v>619807</v>
      </c>
      <c r="I30" s="204">
        <v>453996</v>
      </c>
      <c r="J30" s="204">
        <v>402719</v>
      </c>
      <c r="K30" s="204">
        <v>426292</v>
      </c>
      <c r="L30" s="204">
        <v>702793</v>
      </c>
      <c r="M30" s="204">
        <v>756765</v>
      </c>
      <c r="N30" s="204">
        <v>928658</v>
      </c>
      <c r="O30" s="198">
        <f t="shared" si="5"/>
        <v>8070487</v>
      </c>
      <c r="P30" s="308">
        <f t="shared" si="6"/>
        <v>0.11054211003716717</v>
      </c>
      <c r="Q30" s="20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s="307" customFormat="1" ht="15">
      <c r="A31" s="157"/>
      <c r="B31" s="157" t="s">
        <v>18</v>
      </c>
      <c r="C31" s="204">
        <v>474924</v>
      </c>
      <c r="D31" s="204">
        <v>524277</v>
      </c>
      <c r="E31" s="204">
        <v>530045</v>
      </c>
      <c r="F31" s="204">
        <v>435821</v>
      </c>
      <c r="G31" s="204">
        <v>599812</v>
      </c>
      <c r="H31" s="204">
        <v>469088</v>
      </c>
      <c r="I31" s="204">
        <v>324536</v>
      </c>
      <c r="J31" s="204">
        <v>263536</v>
      </c>
      <c r="K31" s="204">
        <v>241664</v>
      </c>
      <c r="L31" s="204">
        <v>441276</v>
      </c>
      <c r="M31" s="204">
        <v>347185</v>
      </c>
      <c r="N31" s="204">
        <v>417478</v>
      </c>
      <c r="O31" s="198">
        <f t="shared" si="5"/>
        <v>5069642</v>
      </c>
      <c r="P31" s="308">
        <f t="shared" si="6"/>
        <v>0.06943929453241722</v>
      </c>
      <c r="Q31" s="20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s="307" customFormat="1" ht="15">
      <c r="A32" s="157"/>
      <c r="B32" s="157" t="s">
        <v>19</v>
      </c>
      <c r="C32" s="204">
        <v>419516</v>
      </c>
      <c r="D32" s="204">
        <v>468415</v>
      </c>
      <c r="E32" s="204">
        <v>584344</v>
      </c>
      <c r="F32" s="204">
        <v>512794</v>
      </c>
      <c r="G32" s="204">
        <v>689992</v>
      </c>
      <c r="H32" s="204">
        <v>569687</v>
      </c>
      <c r="I32" s="204">
        <v>406692</v>
      </c>
      <c r="J32" s="204">
        <v>415160</v>
      </c>
      <c r="K32" s="204">
        <v>384412</v>
      </c>
      <c r="L32" s="204">
        <v>493194</v>
      </c>
      <c r="M32" s="204">
        <v>398232</v>
      </c>
      <c r="N32" s="204">
        <v>505686</v>
      </c>
      <c r="O32" s="198">
        <f t="shared" si="5"/>
        <v>5848124</v>
      </c>
      <c r="P32" s="308">
        <f t="shared" si="6"/>
        <v>0.08010222514688373</v>
      </c>
      <c r="Q32" s="157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s="307" customFormat="1" ht="15">
      <c r="A33" s="157"/>
      <c r="B33" s="157" t="s">
        <v>105</v>
      </c>
      <c r="C33" s="204">
        <v>371230</v>
      </c>
      <c r="D33" s="204">
        <v>337249</v>
      </c>
      <c r="E33" s="204">
        <v>457661</v>
      </c>
      <c r="F33" s="204">
        <v>462556</v>
      </c>
      <c r="G33" s="204">
        <v>543998</v>
      </c>
      <c r="H33" s="204">
        <v>427301</v>
      </c>
      <c r="I33" s="204">
        <v>199604</v>
      </c>
      <c r="J33" s="204">
        <v>199895</v>
      </c>
      <c r="K33" s="204">
        <v>159886</v>
      </c>
      <c r="L33" s="204">
        <v>275089</v>
      </c>
      <c r="M33" s="204">
        <v>304802</v>
      </c>
      <c r="N33" s="204">
        <v>587231</v>
      </c>
      <c r="O33" s="198">
        <f t="shared" si="5"/>
        <v>4326502</v>
      </c>
      <c r="P33" s="308">
        <f t="shared" si="6"/>
        <v>0.05926044613664873</v>
      </c>
      <c r="Q33" s="20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s="307" customFormat="1" ht="15">
      <c r="A34" s="157"/>
      <c r="B34" s="157" t="s">
        <v>112</v>
      </c>
      <c r="C34" s="204">
        <v>244355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198">
        <f t="shared" si="5"/>
        <v>244355</v>
      </c>
      <c r="P34" s="308">
        <f t="shared" si="6"/>
        <v>0.003346950103275302</v>
      </c>
      <c r="Q34" s="20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s="307" customFormat="1" ht="15">
      <c r="A35" s="157"/>
      <c r="B35" s="157" t="s">
        <v>21</v>
      </c>
      <c r="C35" s="204">
        <v>816937</v>
      </c>
      <c r="D35" s="204">
        <v>793917</v>
      </c>
      <c r="E35" s="204">
        <v>1021461</v>
      </c>
      <c r="F35" s="204">
        <v>960007</v>
      </c>
      <c r="G35" s="204">
        <v>1359769</v>
      </c>
      <c r="H35" s="204">
        <v>992176</v>
      </c>
      <c r="I35" s="204">
        <v>647513</v>
      </c>
      <c r="J35" s="204">
        <v>673015</v>
      </c>
      <c r="K35" s="204">
        <v>576977</v>
      </c>
      <c r="L35" s="204">
        <v>834639</v>
      </c>
      <c r="M35" s="204">
        <v>1177613</v>
      </c>
      <c r="N35" s="204">
        <v>1294692</v>
      </c>
      <c r="O35" s="198">
        <f t="shared" si="5"/>
        <v>11148716</v>
      </c>
      <c r="P35" s="308">
        <f t="shared" si="6"/>
        <v>0.15270486041860004</v>
      </c>
      <c r="Q35" s="157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s="307" customFormat="1" ht="15">
      <c r="A36" s="157"/>
      <c r="B36" s="157" t="s">
        <v>22</v>
      </c>
      <c r="C36" s="204">
        <v>414664</v>
      </c>
      <c r="D36" s="204">
        <v>347773</v>
      </c>
      <c r="E36" s="204">
        <v>378183</v>
      </c>
      <c r="F36" s="204">
        <v>304267</v>
      </c>
      <c r="G36" s="204">
        <v>394925</v>
      </c>
      <c r="H36" s="204">
        <v>326219</v>
      </c>
      <c r="I36" s="204">
        <v>173085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198">
        <f t="shared" si="5"/>
        <v>2339116</v>
      </c>
      <c r="P36" s="308">
        <f t="shared" si="6"/>
        <v>0.03203906012879995</v>
      </c>
      <c r="Q36" s="157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s="307" customFormat="1" ht="15">
      <c r="A37" s="157"/>
      <c r="B37" s="157" t="s">
        <v>24</v>
      </c>
      <c r="C37" s="204">
        <v>626290</v>
      </c>
      <c r="D37" s="204">
        <v>620130</v>
      </c>
      <c r="E37" s="204">
        <v>566295</v>
      </c>
      <c r="F37" s="204">
        <v>521255</v>
      </c>
      <c r="G37" s="208">
        <v>702925</v>
      </c>
      <c r="H37" s="204">
        <v>550495</v>
      </c>
      <c r="I37" s="204">
        <v>387600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198">
        <f t="shared" si="5"/>
        <v>3974990</v>
      </c>
      <c r="P37" s="308">
        <f t="shared" si="6"/>
        <v>0.05444575797924451</v>
      </c>
      <c r="Q37" s="20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s="307" customFormat="1" ht="15">
      <c r="A38" s="157"/>
      <c r="B38" s="157" t="s">
        <v>23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s="307" customFormat="1" ht="15">
      <c r="A39" s="157"/>
      <c r="B39" s="157" t="s">
        <v>25</v>
      </c>
      <c r="C39" s="204">
        <v>1032388</v>
      </c>
      <c r="D39" s="204">
        <v>867014</v>
      </c>
      <c r="E39" s="204">
        <v>1074238</v>
      </c>
      <c r="F39" s="204">
        <v>882522</v>
      </c>
      <c r="G39" s="204">
        <v>1025212</v>
      </c>
      <c r="H39" s="204">
        <v>817077</v>
      </c>
      <c r="I39" s="204">
        <v>486985</v>
      </c>
      <c r="J39" s="204">
        <v>357827</v>
      </c>
      <c r="K39" s="204">
        <v>360818</v>
      </c>
      <c r="L39" s="204">
        <v>534638</v>
      </c>
      <c r="M39" s="204">
        <v>657275</v>
      </c>
      <c r="N39" s="204">
        <v>786334</v>
      </c>
      <c r="O39" s="198">
        <f t="shared" si="5"/>
        <v>8882328</v>
      </c>
      <c r="P39" s="308">
        <f t="shared" si="6"/>
        <v>0.12166196155971888</v>
      </c>
      <c r="Q39" s="20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s="307" customFormat="1" ht="15">
      <c r="A40" s="157"/>
      <c r="B40" s="346" t="s">
        <v>113</v>
      </c>
      <c r="C40" s="198">
        <f aca="true" t="shared" si="7" ref="C40:O40">SUM(C29:C39)</f>
        <v>5146704</v>
      </c>
      <c r="D40" s="198">
        <f t="shared" si="7"/>
        <v>4694513</v>
      </c>
      <c r="E40" s="198">
        <f t="shared" si="7"/>
        <v>5385347</v>
      </c>
      <c r="F40" s="198">
        <f t="shared" si="7"/>
        <v>4770625</v>
      </c>
      <c r="G40" s="198">
        <f t="shared" si="7"/>
        <v>6149429</v>
      </c>
      <c r="H40" s="198">
        <f t="shared" si="7"/>
        <v>4771850</v>
      </c>
      <c r="I40" s="198">
        <f t="shared" si="7"/>
        <v>3080011</v>
      </c>
      <c r="J40" s="198">
        <f t="shared" si="7"/>
        <v>2312152</v>
      </c>
      <c r="K40" s="198">
        <f t="shared" si="7"/>
        <v>2150049</v>
      </c>
      <c r="L40" s="198">
        <f t="shared" si="7"/>
        <v>3281629</v>
      </c>
      <c r="M40" s="198">
        <f t="shared" si="7"/>
        <v>3641872</v>
      </c>
      <c r="N40" s="198">
        <f t="shared" si="7"/>
        <v>4520079</v>
      </c>
      <c r="O40" s="198">
        <f t="shared" si="7"/>
        <v>49904260</v>
      </c>
      <c r="P40" s="308">
        <f t="shared" si="6"/>
        <v>0.6835426660427555</v>
      </c>
      <c r="Q40" s="20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s="307" customFormat="1" ht="15">
      <c r="A41" s="157"/>
      <c r="B41" s="157" t="s">
        <v>114</v>
      </c>
      <c r="C41" s="348">
        <v>0</v>
      </c>
      <c r="D41" s="348">
        <v>214699</v>
      </c>
      <c r="E41" s="348">
        <v>274907</v>
      </c>
      <c r="F41" s="348">
        <v>183630</v>
      </c>
      <c r="G41" s="348">
        <v>249350</v>
      </c>
      <c r="H41" s="348">
        <v>193028</v>
      </c>
      <c r="I41" s="348">
        <v>110217</v>
      </c>
      <c r="J41" s="348">
        <v>122700</v>
      </c>
      <c r="K41" s="348">
        <v>171152</v>
      </c>
      <c r="L41" s="348">
        <v>186676</v>
      </c>
      <c r="M41" s="348">
        <v>184422</v>
      </c>
      <c r="N41" s="348">
        <v>186676</v>
      </c>
      <c r="O41" s="198">
        <f aca="true" t="shared" si="8" ref="O41:O47">SUM(C41:N41)</f>
        <v>2077457</v>
      </c>
      <c r="P41" s="320"/>
      <c r="Q41" s="20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s="307" customFormat="1" ht="15">
      <c r="A42" s="157"/>
      <c r="B42" s="157" t="s">
        <v>27</v>
      </c>
      <c r="C42" s="204">
        <v>179331</v>
      </c>
      <c r="D42" s="204">
        <v>129793</v>
      </c>
      <c r="E42" s="204">
        <v>273309</v>
      </c>
      <c r="F42" s="204">
        <v>430901</v>
      </c>
      <c r="G42" s="204">
        <v>435254</v>
      </c>
      <c r="H42" s="204">
        <v>378496</v>
      </c>
      <c r="I42" s="204">
        <v>170613</v>
      </c>
      <c r="J42" s="204">
        <v>159956</v>
      </c>
      <c r="K42" s="204">
        <v>87246</v>
      </c>
      <c r="L42" s="204">
        <v>157994</v>
      </c>
      <c r="M42" s="204">
        <v>276532</v>
      </c>
      <c r="N42" s="204">
        <v>465291</v>
      </c>
      <c r="O42" s="198">
        <f t="shared" si="8"/>
        <v>3144716</v>
      </c>
      <c r="P42" s="308">
        <f>+O42/$O$49</f>
        <v>0.043073428172009966</v>
      </c>
      <c r="Q42" s="20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s="307" customFormat="1" ht="15">
      <c r="A43" s="157"/>
      <c r="B43" s="157" t="s">
        <v>57</v>
      </c>
      <c r="C43" s="204">
        <v>615075</v>
      </c>
      <c r="D43" s="204">
        <v>457057</v>
      </c>
      <c r="E43" s="204">
        <v>926891</v>
      </c>
      <c r="F43" s="204">
        <v>1169595</v>
      </c>
      <c r="G43" s="204">
        <v>1172985</v>
      </c>
      <c r="H43" s="204">
        <v>962336</v>
      </c>
      <c r="I43" s="204">
        <v>444238</v>
      </c>
      <c r="J43" s="204">
        <v>390150</v>
      </c>
      <c r="K43" s="204">
        <v>194872</v>
      </c>
      <c r="L43" s="204">
        <v>378685</v>
      </c>
      <c r="M43" s="204">
        <v>688172</v>
      </c>
      <c r="N43" s="204">
        <v>963559</v>
      </c>
      <c r="O43" s="198">
        <f t="shared" si="8"/>
        <v>8363615</v>
      </c>
      <c r="P43" s="308">
        <f>+O43/$O$49</f>
        <v>0.11455710784720945</v>
      </c>
      <c r="Q43" s="20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s="307" customFormat="1" ht="15">
      <c r="A44" s="157"/>
      <c r="B44" s="157" t="s">
        <v>106</v>
      </c>
      <c r="C44" s="204">
        <v>490771</v>
      </c>
      <c r="D44" s="204">
        <v>464451</v>
      </c>
      <c r="E44" s="204">
        <v>531256</v>
      </c>
      <c r="F44" s="204">
        <v>419380</v>
      </c>
      <c r="G44" s="204">
        <v>566953</v>
      </c>
      <c r="H44" s="204">
        <v>372129</v>
      </c>
      <c r="I44" s="204">
        <v>261704</v>
      </c>
      <c r="J44" s="204">
        <v>250078</v>
      </c>
      <c r="K44" s="204">
        <v>328505</v>
      </c>
      <c r="L44" s="204">
        <v>459143</v>
      </c>
      <c r="M44" s="204">
        <v>355962</v>
      </c>
      <c r="N44" s="204">
        <v>417254</v>
      </c>
      <c r="O44" s="198">
        <f t="shared" si="8"/>
        <v>4917586</v>
      </c>
      <c r="P44" s="308">
        <f>+O44/$O$49</f>
        <v>0.06735657126134181</v>
      </c>
      <c r="Q44" s="157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s="307" customFormat="1" ht="15">
      <c r="A45" s="157"/>
      <c r="B45" s="157" t="s">
        <v>115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257905</v>
      </c>
      <c r="K45" s="204">
        <v>520805</v>
      </c>
      <c r="L45" s="204">
        <v>632125</v>
      </c>
      <c r="M45" s="204">
        <v>383885</v>
      </c>
      <c r="N45" s="204">
        <v>470115</v>
      </c>
      <c r="O45" s="198">
        <f t="shared" si="8"/>
        <v>2264835</v>
      </c>
      <c r="P45" s="308"/>
      <c r="Q45" s="157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s="307" customFormat="1" ht="15">
      <c r="A46" s="157"/>
      <c r="B46" s="157" t="s">
        <v>116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199994</v>
      </c>
      <c r="K46" s="204">
        <v>260340</v>
      </c>
      <c r="L46" s="204">
        <v>339589</v>
      </c>
      <c r="M46" s="204">
        <v>321860</v>
      </c>
      <c r="N46" s="204">
        <v>285484</v>
      </c>
      <c r="O46" s="198">
        <f t="shared" si="8"/>
        <v>1407267</v>
      </c>
      <c r="P46" s="308"/>
      <c r="Q46" s="157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s="307" customFormat="1" ht="15">
      <c r="A47" s="157"/>
      <c r="B47" s="157" t="s">
        <v>107</v>
      </c>
      <c r="C47" s="204">
        <v>86873</v>
      </c>
      <c r="D47" s="204">
        <v>83469</v>
      </c>
      <c r="E47" s="204">
        <v>94924</v>
      </c>
      <c r="F47" s="204">
        <v>80807</v>
      </c>
      <c r="G47" s="204">
        <v>105862</v>
      </c>
      <c r="H47" s="204">
        <v>61663</v>
      </c>
      <c r="I47" s="204">
        <v>43812</v>
      </c>
      <c r="J47" s="204">
        <v>50833</v>
      </c>
      <c r="K47" s="204">
        <v>72006</v>
      </c>
      <c r="L47" s="204">
        <v>85805</v>
      </c>
      <c r="M47" s="204">
        <v>76967</v>
      </c>
      <c r="N47" s="204">
        <v>85502</v>
      </c>
      <c r="O47" s="198">
        <f t="shared" si="8"/>
        <v>928523</v>
      </c>
      <c r="P47" s="308">
        <f>+O47/$O$49</f>
        <v>0.012718054268353393</v>
      </c>
      <c r="Q47" s="157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s="307" customFormat="1" ht="1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320"/>
      <c r="Q48" s="20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s="307" customFormat="1" ht="15">
      <c r="A49" s="157"/>
      <c r="B49" s="196" t="s">
        <v>28</v>
      </c>
      <c r="C49" s="321">
        <f>+C40+SUM(C41:C47)</f>
        <v>6518754</v>
      </c>
      <c r="D49" s="321">
        <f aca="true" t="shared" si="9" ref="D49:O49">+D40+SUM(D41:D47)</f>
        <v>6043982</v>
      </c>
      <c r="E49" s="321">
        <f t="shared" si="9"/>
        <v>7486634</v>
      </c>
      <c r="F49" s="321">
        <f t="shared" si="9"/>
        <v>7054938</v>
      </c>
      <c r="G49" s="321">
        <f t="shared" si="9"/>
        <v>8679833</v>
      </c>
      <c r="H49" s="321">
        <f t="shared" si="9"/>
        <v>6739502</v>
      </c>
      <c r="I49" s="321">
        <f t="shared" si="9"/>
        <v>4110595</v>
      </c>
      <c r="J49" s="321">
        <f t="shared" si="9"/>
        <v>3743768</v>
      </c>
      <c r="K49" s="321">
        <f>+K40+SUM(K41:K47)</f>
        <v>3784975</v>
      </c>
      <c r="L49" s="321">
        <f t="shared" si="9"/>
        <v>5521646</v>
      </c>
      <c r="M49" s="321">
        <f t="shared" si="9"/>
        <v>5929672</v>
      </c>
      <c r="N49" s="321">
        <f t="shared" si="9"/>
        <v>7393960</v>
      </c>
      <c r="O49" s="321">
        <f t="shared" si="9"/>
        <v>73008259</v>
      </c>
      <c r="P49" s="322">
        <f>+P40+P42+P43</f>
        <v>0.8411732020619749</v>
      </c>
      <c r="Q49" s="20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s="307" customFormat="1" ht="15.75" thickBot="1">
      <c r="A50" s="15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57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5.75" thickTop="1">
      <c r="A51" s="123"/>
      <c r="B51" s="121">
        <f ca="1">NOW()</f>
        <v>40948.65149502315</v>
      </c>
      <c r="C51" s="122" t="s">
        <v>58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3"/>
      <c r="B52" s="121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5">
      <c r="A53" s="123"/>
      <c r="B53" s="121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.75">
      <c r="A65" s="12" t="s">
        <v>46</v>
      </c>
      <c r="B65" s="12"/>
      <c r="C65" s="16" t="s">
        <v>47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12"/>
      <c r="P65" s="55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12"/>
      <c r="C66" s="24" t="s">
        <v>2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6.5" thickBot="1">
      <c r="A67" s="12"/>
      <c r="B67" s="26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1998</v>
      </c>
      <c r="P67" s="26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6.5" thickBot="1" thickTop="1">
      <c r="A68" s="12"/>
      <c r="B68" s="30"/>
      <c r="C68" s="32" t="s">
        <v>3</v>
      </c>
      <c r="D68" s="33" t="s">
        <v>4</v>
      </c>
      <c r="E68" s="33" t="s">
        <v>5</v>
      </c>
      <c r="F68" s="33" t="s">
        <v>6</v>
      </c>
      <c r="G68" s="33" t="s">
        <v>7</v>
      </c>
      <c r="H68" s="33" t="s">
        <v>8</v>
      </c>
      <c r="I68" s="33" t="s">
        <v>9</v>
      </c>
      <c r="J68" s="33" t="s">
        <v>10</v>
      </c>
      <c r="K68" s="34" t="s">
        <v>11</v>
      </c>
      <c r="L68" s="33" t="s">
        <v>12</v>
      </c>
      <c r="M68" s="33" t="s">
        <v>13</v>
      </c>
      <c r="N68" s="33" t="s">
        <v>14</v>
      </c>
      <c r="O68" s="35" t="s">
        <v>15</v>
      </c>
      <c r="P68" s="17" t="s">
        <v>16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.75" thickTop="1">
      <c r="A69" s="12"/>
      <c r="B69" s="13"/>
      <c r="C69" s="6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60"/>
      <c r="P69" s="6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42</v>
      </c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"/>
      <c r="P70" s="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 t="s">
        <v>33</v>
      </c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>
        <f>SUM(C71:N71)</f>
        <v>0</v>
      </c>
      <c r="P71" s="5" t="e">
        <f>+O71/$O$95</f>
        <v>#DIV/0!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">
      <c r="A72" s="12"/>
      <c r="B72" s="62" t="s">
        <v>34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>
        <f>SUM(C72:N72)</f>
        <v>0</v>
      </c>
      <c r="P72" s="5" t="e">
        <f>+O72/$O$96</f>
        <v>#DIV/0!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">
      <c r="A73" s="12"/>
      <c r="B73" s="36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4"/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">
      <c r="A74" s="12"/>
      <c r="B74" s="36" t="s">
        <v>43</v>
      </c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4"/>
      <c r="P74" s="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">
      <c r="A75" s="12"/>
      <c r="B75" s="36" t="s">
        <v>33</v>
      </c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4">
        <f>SUM(C75:N75)</f>
        <v>0</v>
      </c>
      <c r="P75" s="5" t="e">
        <f>+O75/$O$95</f>
        <v>#DIV/0!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2" t="s">
        <v>34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>
        <f>SUM(C76:N76)</f>
        <v>0</v>
      </c>
      <c r="P76" s="5" t="e">
        <f>+O76/$O$96</f>
        <v>#DIV/0!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/>
      <c r="P77" s="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32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/>
      <c r="P78" s="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36" t="s">
        <v>33</v>
      </c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>
        <f>SUM(C79:N79)</f>
        <v>0</v>
      </c>
      <c r="P79" s="5" t="e">
        <f>+O79/$O$95</f>
        <v>#DIV/0!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">
      <c r="A80" s="12"/>
      <c r="B80" s="62" t="s">
        <v>34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>
        <f>SUM(C80:N80)</f>
        <v>0</v>
      </c>
      <c r="P80" s="5" t="e">
        <f>+O80/$O$96</f>
        <v>#DIV/0!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">
      <c r="A81" s="12"/>
      <c r="B81" s="36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4"/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">
      <c r="A82" s="12"/>
      <c r="B82" s="62" t="s">
        <v>44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4"/>
      <c r="P82" s="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">
      <c r="A83" s="12"/>
      <c r="B83" s="36" t="s">
        <v>33</v>
      </c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4">
        <f>SUM(C83:N83)</f>
        <v>0</v>
      </c>
      <c r="P83" s="5" t="e">
        <f>+O83/$O$95</f>
        <v>#DIV/0!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">
      <c r="A84" s="12"/>
      <c r="B84" s="62" t="s">
        <v>34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4">
        <f>SUM(C84:N84)</f>
        <v>0</v>
      </c>
      <c r="P84" s="5" t="e">
        <f>+O84/$O$96</f>
        <v>#DIV/0!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2"/>
      <c r="B85" s="36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4"/>
      <c r="P85" s="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5.75">
      <c r="A86" s="12"/>
      <c r="B86" s="66" t="s">
        <v>28</v>
      </c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4"/>
      <c r="P86" s="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5.75">
      <c r="A87" s="12"/>
      <c r="B87" s="67" t="s">
        <v>33</v>
      </c>
      <c r="C87" s="68">
        <f aca="true" t="shared" si="10" ref="C87:N87">+C71+C75+C79+C83</f>
        <v>0</v>
      </c>
      <c r="D87" s="69">
        <f t="shared" si="10"/>
        <v>0</v>
      </c>
      <c r="E87" s="69">
        <f t="shared" si="10"/>
        <v>0</v>
      </c>
      <c r="F87" s="69">
        <f t="shared" si="10"/>
        <v>0</v>
      </c>
      <c r="G87" s="69">
        <f t="shared" si="10"/>
        <v>0</v>
      </c>
      <c r="H87" s="69">
        <f t="shared" si="10"/>
        <v>0</v>
      </c>
      <c r="I87" s="69">
        <f t="shared" si="10"/>
        <v>0</v>
      </c>
      <c r="J87" s="69">
        <f t="shared" si="10"/>
        <v>0</v>
      </c>
      <c r="K87" s="69">
        <f t="shared" si="10"/>
        <v>0</v>
      </c>
      <c r="L87" s="69">
        <f t="shared" si="10"/>
        <v>0</v>
      </c>
      <c r="M87" s="69">
        <f t="shared" si="10"/>
        <v>0</v>
      </c>
      <c r="N87" s="69">
        <f t="shared" si="10"/>
        <v>0</v>
      </c>
      <c r="O87" s="70">
        <f>SUM(C87:N87)</f>
        <v>0</v>
      </c>
      <c r="P87" s="71" t="e">
        <f>+P71+P75+P79+P83</f>
        <v>#DIV/0!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5.75">
      <c r="A88" s="12"/>
      <c r="B88" s="43" t="s">
        <v>34</v>
      </c>
      <c r="C88" s="68">
        <f aca="true" t="shared" si="11" ref="C88:N88">+C72+C76+C80+C84</f>
        <v>0</v>
      </c>
      <c r="D88" s="69">
        <f t="shared" si="11"/>
        <v>0</v>
      </c>
      <c r="E88" s="69">
        <f t="shared" si="11"/>
        <v>0</v>
      </c>
      <c r="F88" s="69">
        <f t="shared" si="11"/>
        <v>0</v>
      </c>
      <c r="G88" s="69">
        <f t="shared" si="11"/>
        <v>0</v>
      </c>
      <c r="H88" s="69">
        <f t="shared" si="11"/>
        <v>0</v>
      </c>
      <c r="I88" s="69">
        <f t="shared" si="11"/>
        <v>0</v>
      </c>
      <c r="J88" s="69">
        <f t="shared" si="11"/>
        <v>0</v>
      </c>
      <c r="K88" s="69">
        <f t="shared" si="11"/>
        <v>0</v>
      </c>
      <c r="L88" s="69">
        <f t="shared" si="11"/>
        <v>0</v>
      </c>
      <c r="M88" s="69">
        <f t="shared" si="11"/>
        <v>0</v>
      </c>
      <c r="N88" s="69">
        <f t="shared" si="11"/>
        <v>0</v>
      </c>
      <c r="O88" s="70">
        <f>SUM(C88:N88)</f>
        <v>0</v>
      </c>
      <c r="P88" s="71" t="e">
        <f>+P72+P76+P80+P84</f>
        <v>#DIV/0!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5.75">
      <c r="A89" s="12"/>
      <c r="B89" s="74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/>
      <c r="P89" s="79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5">
      <c r="A90" s="12"/>
      <c r="B90" s="65" t="s">
        <v>27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4"/>
      <c r="P90" s="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5">
      <c r="A91" s="12"/>
      <c r="B91" s="36" t="s">
        <v>33</v>
      </c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4">
        <f>SUM(C91:N91)</f>
        <v>0</v>
      </c>
      <c r="P91" s="5" t="e">
        <f>+O91/$O$95</f>
        <v>#DIV/0!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5">
      <c r="A92" s="12"/>
      <c r="B92" s="62" t="s">
        <v>34</v>
      </c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4">
        <f>SUM(C92:N92)</f>
        <v>0</v>
      </c>
      <c r="P92" s="5" t="e">
        <f>+O92/$O$96</f>
        <v>#DIV/0!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5">
      <c r="A93" s="12"/>
      <c r="B93" s="6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4"/>
      <c r="P93" s="5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5.75">
      <c r="A94" s="12"/>
      <c r="B94" s="43" t="s">
        <v>45</v>
      </c>
      <c r="C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4"/>
      <c r="P94" s="5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5.75">
      <c r="A95" s="12"/>
      <c r="B95" s="67" t="s">
        <v>33</v>
      </c>
      <c r="C95" s="68">
        <f aca="true" t="shared" si="12" ref="C95:P95">+C87+C91</f>
        <v>0</v>
      </c>
      <c r="D95" s="69">
        <f t="shared" si="12"/>
        <v>0</v>
      </c>
      <c r="E95" s="69">
        <f t="shared" si="12"/>
        <v>0</v>
      </c>
      <c r="F95" s="69">
        <f t="shared" si="12"/>
        <v>0</v>
      </c>
      <c r="G95" s="69">
        <f t="shared" si="12"/>
        <v>0</v>
      </c>
      <c r="H95" s="69">
        <f t="shared" si="12"/>
        <v>0</v>
      </c>
      <c r="I95" s="69">
        <f t="shared" si="12"/>
        <v>0</v>
      </c>
      <c r="J95" s="69">
        <f t="shared" si="12"/>
        <v>0</v>
      </c>
      <c r="K95" s="69">
        <f t="shared" si="12"/>
        <v>0</v>
      </c>
      <c r="L95" s="69">
        <f t="shared" si="12"/>
        <v>0</v>
      </c>
      <c r="M95" s="69">
        <f t="shared" si="12"/>
        <v>0</v>
      </c>
      <c r="N95" s="69">
        <f t="shared" si="12"/>
        <v>0</v>
      </c>
      <c r="O95" s="68">
        <f t="shared" si="12"/>
        <v>0</v>
      </c>
      <c r="P95" s="71" t="e">
        <f t="shared" si="12"/>
        <v>#DIV/0!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5.75">
      <c r="A96" s="12"/>
      <c r="B96" s="43" t="s">
        <v>34</v>
      </c>
      <c r="C96" s="68">
        <f aca="true" t="shared" si="13" ref="C96:P96">+C88+C92</f>
        <v>0</v>
      </c>
      <c r="D96" s="69">
        <f t="shared" si="13"/>
        <v>0</v>
      </c>
      <c r="E96" s="69">
        <f t="shared" si="13"/>
        <v>0</v>
      </c>
      <c r="F96" s="69">
        <f t="shared" si="13"/>
        <v>0</v>
      </c>
      <c r="G96" s="69">
        <f t="shared" si="13"/>
        <v>0</v>
      </c>
      <c r="H96" s="69">
        <f t="shared" si="13"/>
        <v>0</v>
      </c>
      <c r="I96" s="69">
        <f t="shared" si="13"/>
        <v>0</v>
      </c>
      <c r="J96" s="69">
        <f t="shared" si="13"/>
        <v>0</v>
      </c>
      <c r="K96" s="69">
        <f t="shared" si="13"/>
        <v>0</v>
      </c>
      <c r="L96" s="69">
        <f t="shared" si="13"/>
        <v>0</v>
      </c>
      <c r="M96" s="69">
        <f t="shared" si="13"/>
        <v>0</v>
      </c>
      <c r="N96" s="69">
        <f t="shared" si="13"/>
        <v>0</v>
      </c>
      <c r="O96" s="68">
        <f t="shared" si="13"/>
        <v>0</v>
      </c>
      <c r="P96" s="71" t="e">
        <f t="shared" si="13"/>
        <v>#DIV/0!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5.75" thickBot="1">
      <c r="A97" s="12"/>
      <c r="B97" s="30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21"/>
      <c r="P97" s="2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5.75" thickTop="1">
      <c r="A98" s="12"/>
      <c r="B98" s="1" t="s">
        <v>40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5">
      <c r="A99" s="15" t="s">
        <v>30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5" t="s">
        <v>30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</sheetData>
  <sheetProtection/>
  <printOptions/>
  <pageMargins left="0.75" right="0.75" top="1" bottom="1" header="0.4921259845" footer="0.4921259845"/>
  <pageSetup horizontalDpi="300" verticalDpi="3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99"/>
  <sheetViews>
    <sheetView zoomScale="85" zoomScaleNormal="85" zoomScalePageLayoutView="0" workbookViewId="0" topLeftCell="A40">
      <selection activeCell="E40" sqref="E40"/>
    </sheetView>
  </sheetViews>
  <sheetFormatPr defaultColWidth="11.5546875" defaultRowHeight="15"/>
  <cols>
    <col min="1" max="1" width="3.99609375" style="0" customWidth="1"/>
    <col min="2" max="2" width="13.99609375" style="0" customWidth="1"/>
    <col min="3" max="3" width="6.99609375" style="0" customWidth="1"/>
    <col min="4" max="5" width="10.77734375" style="0" bestFit="1" customWidth="1"/>
    <col min="6" max="6" width="10.99609375" style="0" bestFit="1" customWidth="1"/>
    <col min="7" max="7" width="9.3359375" style="0" customWidth="1"/>
    <col min="8" max="8" width="7.77734375" style="0" customWidth="1"/>
    <col min="9" max="9" width="11.4453125" style="0" bestFit="1" customWidth="1"/>
    <col min="10" max="10" width="7.6640625" style="0" customWidth="1"/>
    <col min="11" max="11" width="8.6640625" style="0" customWidth="1"/>
    <col min="12" max="12" width="7.6640625" style="0" customWidth="1"/>
    <col min="13" max="13" width="9.10546875" style="0" customWidth="1"/>
    <col min="14" max="14" width="10.214843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108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212727</v>
      </c>
      <c r="D6" s="110">
        <v>217758</v>
      </c>
      <c r="E6" s="111">
        <v>189044</v>
      </c>
      <c r="F6" s="111">
        <v>172006</v>
      </c>
      <c r="G6" s="111">
        <v>190781</v>
      </c>
      <c r="H6" s="111">
        <v>140818</v>
      </c>
      <c r="I6" s="111">
        <v>122525</v>
      </c>
      <c r="J6" s="111">
        <v>96950</v>
      </c>
      <c r="K6" s="111">
        <v>83729</v>
      </c>
      <c r="L6" s="111">
        <v>135288</v>
      </c>
      <c r="M6" s="111">
        <v>177721</v>
      </c>
      <c r="N6" s="111">
        <v>170853</v>
      </c>
      <c r="O6" s="133">
        <f aca="true" t="shared" si="0" ref="O6:O14">SUM(C6:N6)</f>
        <v>1910200</v>
      </c>
      <c r="P6" s="134">
        <f aca="true" t="shared" si="1" ref="P6:P15">+O6/$O$19</f>
        <v>0.11606768844958189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118944</v>
      </c>
      <c r="D7" s="111">
        <v>127560</v>
      </c>
      <c r="E7" s="111">
        <v>142509</v>
      </c>
      <c r="F7" s="111">
        <v>131133</v>
      </c>
      <c r="G7" s="111">
        <v>132468</v>
      </c>
      <c r="H7" s="111">
        <v>110530</v>
      </c>
      <c r="I7" s="111">
        <v>63923</v>
      </c>
      <c r="J7" s="111">
        <v>59826</v>
      </c>
      <c r="K7" s="111">
        <v>56490</v>
      </c>
      <c r="L7" s="111">
        <v>83973</v>
      </c>
      <c r="M7" s="111">
        <v>117068</v>
      </c>
      <c r="N7" s="111">
        <v>95887</v>
      </c>
      <c r="O7" s="133">
        <f t="shared" si="0"/>
        <v>1240311</v>
      </c>
      <c r="P7" s="134">
        <f t="shared" si="1"/>
        <v>0.07536385233409558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82461</v>
      </c>
      <c r="D8" s="111">
        <v>5451</v>
      </c>
      <c r="E8" s="111">
        <v>138375</v>
      </c>
      <c r="F8" s="111">
        <v>119405</v>
      </c>
      <c r="G8" s="111">
        <v>124276</v>
      </c>
      <c r="H8" s="111">
        <v>111545</v>
      </c>
      <c r="I8" s="111">
        <v>76624</v>
      </c>
      <c r="J8" s="111">
        <v>60428</v>
      </c>
      <c r="K8" s="111">
        <v>55864</v>
      </c>
      <c r="L8" s="111">
        <v>43971</v>
      </c>
      <c r="M8" s="111">
        <v>40872</v>
      </c>
      <c r="N8" s="111">
        <v>86200</v>
      </c>
      <c r="O8" s="133">
        <f t="shared" si="0"/>
        <v>945472</v>
      </c>
      <c r="P8" s="134">
        <f t="shared" si="1"/>
        <v>0.057448827103865084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132546</v>
      </c>
      <c r="D9" s="111">
        <v>105064</v>
      </c>
      <c r="E9" s="111">
        <v>110767</v>
      </c>
      <c r="F9" s="111">
        <v>103333</v>
      </c>
      <c r="G9" s="111">
        <v>113468</v>
      </c>
      <c r="H9" s="111">
        <v>88501</v>
      </c>
      <c r="I9" s="111">
        <v>71379</v>
      </c>
      <c r="J9" s="111">
        <v>53440</v>
      </c>
      <c r="K9" s="111">
        <v>75989</v>
      </c>
      <c r="L9" s="111">
        <v>94002</v>
      </c>
      <c r="M9" s="111">
        <v>92933</v>
      </c>
      <c r="N9" s="111">
        <v>102921</v>
      </c>
      <c r="O9" s="133">
        <f t="shared" si="0"/>
        <v>1144343</v>
      </c>
      <c r="P9" s="134">
        <f t="shared" si="1"/>
        <v>0.06953263888779179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252364</v>
      </c>
      <c r="D10" s="111">
        <v>215418</v>
      </c>
      <c r="E10" s="111">
        <v>254880</v>
      </c>
      <c r="F10" s="111">
        <v>272909</v>
      </c>
      <c r="G10" s="111">
        <v>279826</v>
      </c>
      <c r="H10" s="111">
        <v>221040</v>
      </c>
      <c r="I10" s="111">
        <v>150048</v>
      </c>
      <c r="J10" s="111">
        <v>133262</v>
      </c>
      <c r="K10" s="111">
        <v>175193</v>
      </c>
      <c r="L10" s="111">
        <v>183383</v>
      </c>
      <c r="M10" s="111">
        <v>245715</v>
      </c>
      <c r="N10" s="111">
        <v>234764</v>
      </c>
      <c r="O10" s="133">
        <f t="shared" si="0"/>
        <v>2618802</v>
      </c>
      <c r="P10" s="134">
        <f t="shared" si="1"/>
        <v>0.15912380622298292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74001</v>
      </c>
      <c r="D11" s="111">
        <v>87330</v>
      </c>
      <c r="E11" s="111">
        <v>58456</v>
      </c>
      <c r="F11" s="111">
        <v>75307</v>
      </c>
      <c r="G11" s="111">
        <v>68435</v>
      </c>
      <c r="H11" s="111">
        <v>80000</v>
      </c>
      <c r="I11" s="111">
        <v>41179</v>
      </c>
      <c r="J11" s="111">
        <v>18635</v>
      </c>
      <c r="K11" s="111">
        <v>0</v>
      </c>
      <c r="L11" s="111">
        <v>76683</v>
      </c>
      <c r="M11" s="111">
        <v>66267</v>
      </c>
      <c r="N11" s="111">
        <v>61668</v>
      </c>
      <c r="O11" s="133">
        <f t="shared" si="0"/>
        <v>707961</v>
      </c>
      <c r="P11" s="134">
        <f t="shared" si="1"/>
        <v>0.043017169292458614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109806</v>
      </c>
      <c r="D12" s="111">
        <v>111644</v>
      </c>
      <c r="E12" s="111">
        <v>114294</v>
      </c>
      <c r="F12" s="111">
        <v>105187</v>
      </c>
      <c r="G12" s="111">
        <v>127503</v>
      </c>
      <c r="H12" s="111">
        <v>98194</v>
      </c>
      <c r="I12" s="111">
        <v>73638</v>
      </c>
      <c r="J12" s="111">
        <v>82444</v>
      </c>
      <c r="K12" s="111">
        <v>95389</v>
      </c>
      <c r="L12" s="111">
        <v>107823</v>
      </c>
      <c r="M12" s="111">
        <v>98016</v>
      </c>
      <c r="N12" s="111">
        <v>121083</v>
      </c>
      <c r="O12" s="133">
        <f t="shared" si="0"/>
        <v>1245021</v>
      </c>
      <c r="P12" s="134">
        <f t="shared" si="1"/>
        <v>0.07565004164024024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154724</v>
      </c>
      <c r="D13" s="111">
        <v>155761</v>
      </c>
      <c r="E13" s="111">
        <v>149612</v>
      </c>
      <c r="F13" s="111">
        <v>140950</v>
      </c>
      <c r="G13" s="206">
        <v>140761</v>
      </c>
      <c r="H13" s="111">
        <v>115763</v>
      </c>
      <c r="I13" s="111">
        <v>93338</v>
      </c>
      <c r="J13" s="111">
        <v>112310</v>
      </c>
      <c r="K13" s="111">
        <v>167617</v>
      </c>
      <c r="L13" s="111">
        <v>135059</v>
      </c>
      <c r="M13" s="111">
        <v>117159</v>
      </c>
      <c r="N13" s="111">
        <v>132113</v>
      </c>
      <c r="O13" s="133">
        <f t="shared" si="0"/>
        <v>1615167</v>
      </c>
      <c r="P13" s="134">
        <f t="shared" si="1"/>
        <v>0.09814087537956541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206563</v>
      </c>
      <c r="D14" s="111">
        <v>230230.5</v>
      </c>
      <c r="E14" s="111">
        <v>219214</v>
      </c>
      <c r="F14" s="111">
        <v>220160.5</v>
      </c>
      <c r="G14" s="111">
        <v>222589</v>
      </c>
      <c r="H14" s="111">
        <v>168073</v>
      </c>
      <c r="I14" s="111">
        <v>108957</v>
      </c>
      <c r="J14" s="111">
        <v>71477</v>
      </c>
      <c r="K14" s="111">
        <v>73709</v>
      </c>
      <c r="L14" s="111">
        <v>142774</v>
      </c>
      <c r="M14" s="111">
        <v>159384</v>
      </c>
      <c r="N14" s="111">
        <v>186613</v>
      </c>
      <c r="O14" s="133">
        <f t="shared" si="0"/>
        <v>2009744</v>
      </c>
      <c r="P14" s="134">
        <f t="shared" si="1"/>
        <v>0.1221161870251369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O15">SUM(C6:C14)</f>
        <v>1344136</v>
      </c>
      <c r="D15" s="114">
        <f t="shared" si="2"/>
        <v>1256216.5</v>
      </c>
      <c r="E15" s="114">
        <f t="shared" si="2"/>
        <v>1377151</v>
      </c>
      <c r="F15" s="114">
        <f t="shared" si="2"/>
        <v>1340390.5</v>
      </c>
      <c r="G15" s="114">
        <f t="shared" si="2"/>
        <v>1400107</v>
      </c>
      <c r="H15" s="114">
        <f t="shared" si="2"/>
        <v>1134464</v>
      </c>
      <c r="I15" s="114">
        <f t="shared" si="2"/>
        <v>801611</v>
      </c>
      <c r="J15" s="114">
        <f t="shared" si="2"/>
        <v>688772</v>
      </c>
      <c r="K15" s="114">
        <f t="shared" si="2"/>
        <v>783980</v>
      </c>
      <c r="L15" s="114">
        <f t="shared" si="2"/>
        <v>1002956</v>
      </c>
      <c r="M15" s="114">
        <f t="shared" si="2"/>
        <v>1115135</v>
      </c>
      <c r="N15" s="114">
        <f t="shared" si="2"/>
        <v>1192102</v>
      </c>
      <c r="O15" s="114">
        <f t="shared" si="2"/>
        <v>13437021</v>
      </c>
      <c r="P15" s="138">
        <f t="shared" si="1"/>
        <v>0.8164610863357185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66" s="115" customFormat="1" ht="15">
      <c r="A16" s="136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37"/>
      <c r="P16" s="138"/>
      <c r="Q16" s="139"/>
      <c r="R16" s="118"/>
      <c r="S16" s="118"/>
      <c r="T16" s="119"/>
      <c r="U16" s="120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</row>
    <row r="17" spans="1:35" ht="15">
      <c r="A17" s="123"/>
      <c r="B17" s="108" t="s">
        <v>27</v>
      </c>
      <c r="C17" s="110">
        <v>323241</v>
      </c>
      <c r="D17" s="110">
        <v>252857</v>
      </c>
      <c r="E17" s="111">
        <v>307740</v>
      </c>
      <c r="F17" s="111">
        <v>399061</v>
      </c>
      <c r="G17" s="111">
        <v>368781</v>
      </c>
      <c r="H17" s="111">
        <v>286960</v>
      </c>
      <c r="I17" s="111">
        <v>148696</v>
      </c>
      <c r="J17" s="111">
        <v>86525</v>
      </c>
      <c r="K17" s="111">
        <v>134339</v>
      </c>
      <c r="L17" s="111">
        <v>236578</v>
      </c>
      <c r="M17" s="111">
        <v>235688</v>
      </c>
      <c r="N17" s="111">
        <v>240151</v>
      </c>
      <c r="O17" s="133">
        <f>SUM(C17:N17)</f>
        <v>3020617</v>
      </c>
      <c r="P17" s="134"/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P19">+C15+C17</f>
        <v>1667377</v>
      </c>
      <c r="D19" s="148">
        <f t="shared" si="3"/>
        <v>1509073.5</v>
      </c>
      <c r="E19" s="148">
        <f t="shared" si="3"/>
        <v>1684891</v>
      </c>
      <c r="F19" s="148">
        <f t="shared" si="3"/>
        <v>1739451.5</v>
      </c>
      <c r="G19" s="148">
        <f t="shared" si="3"/>
        <v>1768888</v>
      </c>
      <c r="H19" s="148">
        <f t="shared" si="3"/>
        <v>1421424</v>
      </c>
      <c r="I19" s="148">
        <f t="shared" si="3"/>
        <v>950307</v>
      </c>
      <c r="J19" s="148">
        <f t="shared" si="3"/>
        <v>775297</v>
      </c>
      <c r="K19" s="148">
        <f t="shared" si="3"/>
        <v>918319</v>
      </c>
      <c r="L19" s="148">
        <f t="shared" si="3"/>
        <v>1239534</v>
      </c>
      <c r="M19" s="148">
        <f t="shared" si="3"/>
        <v>1350823</v>
      </c>
      <c r="N19" s="148">
        <f t="shared" si="3"/>
        <v>1432253</v>
      </c>
      <c r="O19" s="147">
        <f t="shared" si="3"/>
        <v>16457638</v>
      </c>
      <c r="P19" s="149">
        <f t="shared" si="3"/>
        <v>0.8164610863357185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51">
        <f>C19</f>
        <v>1667377</v>
      </c>
      <c r="D20" s="151">
        <f aca="true" t="shared" si="4" ref="D20:O20">C20+D19</f>
        <v>3176450.5</v>
      </c>
      <c r="E20" s="151">
        <f t="shared" si="4"/>
        <v>4861341.5</v>
      </c>
      <c r="F20" s="151">
        <f t="shared" si="4"/>
        <v>6600793</v>
      </c>
      <c r="G20" s="151">
        <f t="shared" si="4"/>
        <v>8369681</v>
      </c>
      <c r="H20" s="151">
        <f t="shared" si="4"/>
        <v>9791105</v>
      </c>
      <c r="I20" s="151">
        <f t="shared" si="4"/>
        <v>10741412</v>
      </c>
      <c r="J20" s="151">
        <f t="shared" si="4"/>
        <v>11516709</v>
      </c>
      <c r="K20" s="151">
        <f t="shared" si="4"/>
        <v>12435028</v>
      </c>
      <c r="L20" s="151">
        <f t="shared" si="4"/>
        <v>13674562</v>
      </c>
      <c r="M20" s="151">
        <f t="shared" si="4"/>
        <v>15025385</v>
      </c>
      <c r="N20" s="151">
        <f t="shared" si="4"/>
        <v>16457638</v>
      </c>
      <c r="O20" s="151">
        <f t="shared" si="4"/>
        <v>32915276</v>
      </c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>
        <f>C19/C49</f>
        <v>0.21907549234854426</v>
      </c>
      <c r="D23" s="123">
        <f aca="true" t="shared" si="5" ref="D23:N23">D19/D49</f>
        <v>0.22390429114152244</v>
      </c>
      <c r="E23" s="123">
        <f t="shared" si="5"/>
        <v>0.22192608211111325</v>
      </c>
      <c r="F23" s="123">
        <f t="shared" si="5"/>
        <v>0.22555069877930814</v>
      </c>
      <c r="G23" s="123">
        <f t="shared" si="5"/>
        <v>0.22171058857297204</v>
      </c>
      <c r="H23" s="123">
        <f t="shared" si="5"/>
        <v>0.2290696278366307</v>
      </c>
      <c r="I23" s="123">
        <f t="shared" si="5"/>
        <v>0.254425098022417</v>
      </c>
      <c r="J23" s="123">
        <f t="shared" si="5"/>
        <v>0.2544673085538829</v>
      </c>
      <c r="K23" s="123">
        <f t="shared" si="5"/>
        <v>0.24376388281313044</v>
      </c>
      <c r="L23" s="123">
        <f t="shared" si="5"/>
        <v>0.2391293192091104</v>
      </c>
      <c r="M23" s="123">
        <f t="shared" si="5"/>
        <v>0.23125442432615426</v>
      </c>
      <c r="N23" s="123">
        <f t="shared" si="5"/>
        <v>0.23261709560319285</v>
      </c>
      <c r="O23" s="123">
        <f>O19/O49</f>
        <v>0.23214582915482573</v>
      </c>
      <c r="P23" s="123">
        <f>AVERAGE(C23:O23)</f>
        <v>0.2330030568056003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/>
      <c r="B25" s="123"/>
      <c r="C25" s="124" t="s">
        <v>109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2005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33">
        <f>SUM(C29:N29)</f>
        <v>0</v>
      </c>
      <c r="P29" s="134">
        <f aca="true" t="shared" si="6" ref="P29:P40">+O29/$O$49</f>
        <v>0</v>
      </c>
      <c r="Q29" s="13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 t="s">
        <v>17</v>
      </c>
      <c r="C30" s="110">
        <v>846462</v>
      </c>
      <c r="D30" s="111">
        <v>708864</v>
      </c>
      <c r="E30" s="111">
        <v>855226</v>
      </c>
      <c r="F30" s="111">
        <v>790163</v>
      </c>
      <c r="G30" s="111">
        <v>862714</v>
      </c>
      <c r="H30" s="111">
        <v>641746</v>
      </c>
      <c r="I30" s="111">
        <v>505221</v>
      </c>
      <c r="J30" s="111">
        <v>380077</v>
      </c>
      <c r="K30" s="111">
        <v>297895</v>
      </c>
      <c r="L30" s="111">
        <v>474748</v>
      </c>
      <c r="M30" s="111">
        <v>655938</v>
      </c>
      <c r="N30" s="111">
        <v>783821</v>
      </c>
      <c r="O30" s="133">
        <f>SUM(C30:N30)</f>
        <v>7802875</v>
      </c>
      <c r="P30" s="134">
        <f t="shared" si="6"/>
        <v>0.11006469377115118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18</v>
      </c>
      <c r="C31" s="110">
        <v>536738</v>
      </c>
      <c r="D31" s="111">
        <v>543334</v>
      </c>
      <c r="E31" s="111">
        <v>610891</v>
      </c>
      <c r="F31" s="111">
        <v>569867</v>
      </c>
      <c r="G31" s="111">
        <v>580145</v>
      </c>
      <c r="H31" s="111">
        <v>470157</v>
      </c>
      <c r="I31" s="111">
        <v>256195</v>
      </c>
      <c r="J31" s="111">
        <v>238024</v>
      </c>
      <c r="K31" s="111">
        <v>229748</v>
      </c>
      <c r="L31" s="111">
        <v>351477</v>
      </c>
      <c r="M31" s="111">
        <v>499135</v>
      </c>
      <c r="N31" s="111">
        <v>417027</v>
      </c>
      <c r="O31" s="133">
        <f>SUM(C31:N31)</f>
        <v>5302738</v>
      </c>
      <c r="P31" s="134">
        <f t="shared" si="6"/>
        <v>0.07479861385946163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19</v>
      </c>
      <c r="C32" s="110">
        <v>579439</v>
      </c>
      <c r="D32" s="111">
        <v>461229</v>
      </c>
      <c r="E32" s="111">
        <v>619376</v>
      </c>
      <c r="F32" s="111">
        <v>513386</v>
      </c>
      <c r="G32" s="111">
        <v>575180</v>
      </c>
      <c r="H32" s="111">
        <v>464609</v>
      </c>
      <c r="I32" s="111">
        <v>300136</v>
      </c>
      <c r="J32" s="111">
        <v>231610</v>
      </c>
      <c r="K32" s="111">
        <v>267514</v>
      </c>
      <c r="L32" s="111">
        <v>292481</v>
      </c>
      <c r="M32" s="111">
        <v>312459</v>
      </c>
      <c r="N32" s="111">
        <v>351229</v>
      </c>
      <c r="O32" s="133">
        <f>SUM(C32:N32)</f>
        <v>4968648</v>
      </c>
      <c r="P32" s="134">
        <f t="shared" si="6"/>
        <v>0.07008605425264954</v>
      </c>
      <c r="Q32" s="12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105</v>
      </c>
      <c r="C33" s="110">
        <v>442848</v>
      </c>
      <c r="D33" s="111">
        <v>365144</v>
      </c>
      <c r="E33" s="111">
        <v>363182</v>
      </c>
      <c r="F33" s="111">
        <v>381148</v>
      </c>
      <c r="G33" s="111">
        <v>392181</v>
      </c>
      <c r="H33" s="111">
        <v>307335</v>
      </c>
      <c r="I33" s="111">
        <v>179234</v>
      </c>
      <c r="J33" s="111">
        <v>145063</v>
      </c>
      <c r="K33" s="111">
        <v>197652</v>
      </c>
      <c r="L33" s="111">
        <v>210103</v>
      </c>
      <c r="M33" s="111">
        <v>246103</v>
      </c>
      <c r="N33" s="111">
        <v>305984</v>
      </c>
      <c r="O33" s="133">
        <f>SUM(D33:N33)</f>
        <v>3093129</v>
      </c>
      <c r="P33" s="134">
        <f t="shared" si="6"/>
        <v>0.04363062283833421</v>
      </c>
      <c r="Q33" s="13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104</v>
      </c>
      <c r="C34" s="110">
        <v>233171</v>
      </c>
      <c r="D34" s="111">
        <v>168958</v>
      </c>
      <c r="E34" s="111">
        <v>190685</v>
      </c>
      <c r="F34" s="111">
        <v>158090</v>
      </c>
      <c r="G34" s="111">
        <v>178730</v>
      </c>
      <c r="H34" s="111">
        <v>155011</v>
      </c>
      <c r="I34" s="111">
        <v>115981</v>
      </c>
      <c r="J34" s="111">
        <v>76673</v>
      </c>
      <c r="K34" s="111">
        <v>130121</v>
      </c>
      <c r="L34" s="111">
        <v>192260</v>
      </c>
      <c r="M34" s="111">
        <v>172091</v>
      </c>
      <c r="N34" s="111">
        <v>147816</v>
      </c>
      <c r="O34" s="133">
        <f>SUM(D34:N34)</f>
        <v>1686416</v>
      </c>
      <c r="P34" s="134">
        <f t="shared" si="6"/>
        <v>0.023788008985248344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1112672</v>
      </c>
      <c r="D35" s="111">
        <v>941828</v>
      </c>
      <c r="E35" s="111">
        <v>1132675</v>
      </c>
      <c r="F35" s="111">
        <v>1185429</v>
      </c>
      <c r="G35" s="111">
        <v>1248930</v>
      </c>
      <c r="H35" s="111">
        <v>984026</v>
      </c>
      <c r="I35" s="111">
        <v>583849</v>
      </c>
      <c r="J35" s="111">
        <v>539280</v>
      </c>
      <c r="K35" s="111">
        <v>727766</v>
      </c>
      <c r="L35" s="111">
        <v>774051</v>
      </c>
      <c r="M35" s="111">
        <v>1057798</v>
      </c>
      <c r="N35" s="111">
        <v>982949</v>
      </c>
      <c r="O35" s="133">
        <f>SUM(C35:N35)</f>
        <v>11271253</v>
      </c>
      <c r="P35" s="134">
        <f t="shared" si="6"/>
        <v>0.15898845103403156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335463</v>
      </c>
      <c r="D36" s="111">
        <v>391842</v>
      </c>
      <c r="E36" s="111">
        <v>299363</v>
      </c>
      <c r="F36" s="111">
        <v>324904</v>
      </c>
      <c r="G36" s="206">
        <v>326407</v>
      </c>
      <c r="H36" s="206">
        <v>347551</v>
      </c>
      <c r="I36" s="111">
        <v>187334</v>
      </c>
      <c r="J36" s="111">
        <v>153896</v>
      </c>
      <c r="K36" s="111">
        <v>225770</v>
      </c>
      <c r="L36" s="111">
        <v>397278</v>
      </c>
      <c r="M36" s="111">
        <v>285422</v>
      </c>
      <c r="N36" s="111">
        <v>262027</v>
      </c>
      <c r="O36" s="133">
        <f>SUM(C36:N36)</f>
        <v>3537257</v>
      </c>
      <c r="P36" s="134">
        <f t="shared" si="6"/>
        <v>0.04989534094738938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24</v>
      </c>
      <c r="C37" s="110">
        <v>721580</v>
      </c>
      <c r="D37" s="111">
        <v>680380</v>
      </c>
      <c r="E37" s="111">
        <v>667675</v>
      </c>
      <c r="F37" s="111">
        <v>646745</v>
      </c>
      <c r="G37" s="208">
        <v>639695</v>
      </c>
      <c r="H37" s="111">
        <v>507250</v>
      </c>
      <c r="I37" s="111">
        <v>362670</v>
      </c>
      <c r="J37" s="111">
        <v>381735</v>
      </c>
      <c r="K37" s="111">
        <v>466300</v>
      </c>
      <c r="L37" s="111">
        <v>500435</v>
      </c>
      <c r="M37" s="111">
        <v>494069</v>
      </c>
      <c r="N37" s="111">
        <v>548465</v>
      </c>
      <c r="O37" s="133">
        <f>SUM(C37:N37)</f>
        <v>6616999</v>
      </c>
      <c r="P37" s="134">
        <f t="shared" si="6"/>
        <v>0.0933371313290311</v>
      </c>
      <c r="Q37" s="135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/>
      <c r="C38" s="110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33">
        <f>SUM(C38:N38)</f>
        <v>0</v>
      </c>
      <c r="P38" s="134">
        <f t="shared" si="6"/>
        <v>0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916589</v>
      </c>
      <c r="D39" s="111">
        <v>930859</v>
      </c>
      <c r="E39" s="111">
        <v>1019215</v>
      </c>
      <c r="F39" s="111">
        <v>957802</v>
      </c>
      <c r="G39" s="111">
        <v>964520</v>
      </c>
      <c r="H39" s="111">
        <v>704800</v>
      </c>
      <c r="I39" s="111">
        <v>411448</v>
      </c>
      <c r="J39" s="111">
        <v>258357</v>
      </c>
      <c r="K39" s="111">
        <v>277798</v>
      </c>
      <c r="L39" s="111">
        <v>597539</v>
      </c>
      <c r="M39" s="111">
        <v>700542</v>
      </c>
      <c r="N39" s="111">
        <v>829056</v>
      </c>
      <c r="O39" s="133">
        <f>SUM(C39:N39)</f>
        <v>8568525</v>
      </c>
      <c r="P39" s="134">
        <f t="shared" si="6"/>
        <v>0.1208646915650261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SUM(C29:C39)</f>
        <v>5724962</v>
      </c>
      <c r="D40" s="164">
        <f t="shared" si="7"/>
        <v>5192438</v>
      </c>
      <c r="E40" s="164">
        <f t="shared" si="7"/>
        <v>5758288</v>
      </c>
      <c r="F40" s="164">
        <f t="shared" si="7"/>
        <v>5527534</v>
      </c>
      <c r="G40" s="164">
        <f>SUM(G29:G39)</f>
        <v>5768502</v>
      </c>
      <c r="H40" s="164">
        <f>SUM(H29:H39)</f>
        <v>4582485</v>
      </c>
      <c r="I40" s="164">
        <f t="shared" si="7"/>
        <v>2902068</v>
      </c>
      <c r="J40" s="164">
        <f t="shared" si="7"/>
        <v>2404715</v>
      </c>
      <c r="K40" s="164">
        <f t="shared" si="7"/>
        <v>2820564</v>
      </c>
      <c r="L40" s="164">
        <f t="shared" si="7"/>
        <v>3790372</v>
      </c>
      <c r="M40" s="164">
        <f t="shared" si="7"/>
        <v>4423557</v>
      </c>
      <c r="N40" s="164">
        <f t="shared" si="7"/>
        <v>4628374</v>
      </c>
      <c r="O40" s="133">
        <f t="shared" si="7"/>
        <v>52847840</v>
      </c>
      <c r="P40" s="134">
        <f t="shared" si="6"/>
        <v>0.745453608582323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345409</v>
      </c>
      <c r="D42" s="111">
        <v>295995</v>
      </c>
      <c r="E42" s="111">
        <v>361962</v>
      </c>
      <c r="F42" s="111">
        <v>473591</v>
      </c>
      <c r="G42" s="111">
        <v>446309</v>
      </c>
      <c r="H42" s="111">
        <v>324457</v>
      </c>
      <c r="I42" s="111">
        <v>161192</v>
      </c>
      <c r="J42" s="110">
        <v>98155</v>
      </c>
      <c r="K42" s="111">
        <v>172232</v>
      </c>
      <c r="L42" s="111">
        <v>262545</v>
      </c>
      <c r="M42" s="111">
        <v>266555</v>
      </c>
      <c r="N42" s="111">
        <v>239654</v>
      </c>
      <c r="O42" s="133">
        <f aca="true" t="shared" si="8" ref="O42:O47">SUM(C42:N42)</f>
        <v>3448056</v>
      </c>
      <c r="P42" s="134">
        <f aca="true" t="shared" si="9" ref="P42:P47">+O42/$O$49</f>
        <v>0.04863710206119929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1036227</v>
      </c>
      <c r="D43" s="111">
        <v>746435</v>
      </c>
      <c r="E43" s="111">
        <v>977883</v>
      </c>
      <c r="F43" s="111">
        <v>1245365</v>
      </c>
      <c r="G43" s="111">
        <v>1193400</v>
      </c>
      <c r="H43" s="111">
        <v>873806</v>
      </c>
      <c r="I43" s="111">
        <v>379945</v>
      </c>
      <c r="J43" s="110">
        <v>224833</v>
      </c>
      <c r="K43" s="111">
        <v>362104</v>
      </c>
      <c r="L43" s="111">
        <v>664874</v>
      </c>
      <c r="M43" s="111">
        <v>715532</v>
      </c>
      <c r="N43" s="111">
        <v>740453</v>
      </c>
      <c r="O43" s="133">
        <f t="shared" si="8"/>
        <v>9160857</v>
      </c>
      <c r="P43" s="134">
        <f t="shared" si="9"/>
        <v>0.12921992475674757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08" t="s">
        <v>106</v>
      </c>
      <c r="C44" s="110">
        <v>415443</v>
      </c>
      <c r="D44" s="111">
        <v>412277</v>
      </c>
      <c r="E44" s="111">
        <v>413504</v>
      </c>
      <c r="F44" s="111">
        <v>396772</v>
      </c>
      <c r="G44" s="111">
        <v>474546</v>
      </c>
      <c r="H44" s="111">
        <v>361880</v>
      </c>
      <c r="I44" s="111">
        <v>245455</v>
      </c>
      <c r="J44" s="111">
        <v>270272</v>
      </c>
      <c r="K44" s="111">
        <v>344556</v>
      </c>
      <c r="L44" s="111">
        <v>388336</v>
      </c>
      <c r="M44" s="111">
        <v>368476</v>
      </c>
      <c r="N44" s="111">
        <v>463000</v>
      </c>
      <c r="O44" s="133">
        <f t="shared" si="8"/>
        <v>4554517</v>
      </c>
      <c r="P44" s="134">
        <f t="shared" si="9"/>
        <v>0.06424446359585437</v>
      </c>
      <c r="Q44" s="123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08"/>
      <c r="C45" s="110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33">
        <f t="shared" si="8"/>
        <v>0</v>
      </c>
      <c r="P45" s="134">
        <f t="shared" si="9"/>
        <v>0</v>
      </c>
      <c r="Q45" s="12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">
      <c r="A46" s="123"/>
      <c r="B46" s="108"/>
      <c r="C46" s="110">
        <v>0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33">
        <f t="shared" si="8"/>
        <v>0</v>
      </c>
      <c r="P46" s="134">
        <f t="shared" si="9"/>
        <v>0</v>
      </c>
      <c r="Q46" s="12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">
      <c r="A47" s="123"/>
      <c r="B47" s="108" t="s">
        <v>107</v>
      </c>
      <c r="C47" s="142">
        <v>88929</v>
      </c>
      <c r="D47" s="143">
        <v>92670</v>
      </c>
      <c r="E47" s="143">
        <v>80490</v>
      </c>
      <c r="F47" s="143">
        <v>68758</v>
      </c>
      <c r="G47" s="143">
        <v>95608</v>
      </c>
      <c r="H47" s="143">
        <v>62577</v>
      </c>
      <c r="I47" s="143">
        <v>46455</v>
      </c>
      <c r="J47" s="143">
        <v>48770</v>
      </c>
      <c r="K47" s="143">
        <v>67792</v>
      </c>
      <c r="L47" s="143">
        <v>77403</v>
      </c>
      <c r="M47" s="143">
        <v>67165</v>
      </c>
      <c r="N47" s="143">
        <v>85646</v>
      </c>
      <c r="O47" s="133">
        <f t="shared" si="8"/>
        <v>882263</v>
      </c>
      <c r="P47" s="134">
        <f t="shared" si="9"/>
        <v>0.012444901003875769</v>
      </c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3"/>
      <c r="B48" s="141"/>
      <c r="C48" s="168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0"/>
      <c r="P48" s="145"/>
      <c r="Q48" s="135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46" t="s">
        <v>28</v>
      </c>
      <c r="C49" s="147">
        <f>+C40+C42+C43+C44+C47</f>
        <v>7610970</v>
      </c>
      <c r="D49" s="147">
        <f aca="true" t="shared" si="10" ref="D49:O49">+D40+D42+D43+D44+D47</f>
        <v>6739815</v>
      </c>
      <c r="E49" s="147">
        <f t="shared" si="10"/>
        <v>7592127</v>
      </c>
      <c r="F49" s="147">
        <f t="shared" si="10"/>
        <v>7712020</v>
      </c>
      <c r="G49" s="147">
        <f t="shared" si="10"/>
        <v>7978365</v>
      </c>
      <c r="H49" s="147">
        <f t="shared" si="10"/>
        <v>6205205</v>
      </c>
      <c r="I49" s="147">
        <f t="shared" si="10"/>
        <v>3735115</v>
      </c>
      <c r="J49" s="147">
        <f t="shared" si="10"/>
        <v>3046745</v>
      </c>
      <c r="K49" s="147">
        <f t="shared" si="10"/>
        <v>3767248</v>
      </c>
      <c r="L49" s="147">
        <f t="shared" si="10"/>
        <v>5183530</v>
      </c>
      <c r="M49" s="147">
        <f t="shared" si="10"/>
        <v>5841285</v>
      </c>
      <c r="N49" s="147">
        <f t="shared" si="10"/>
        <v>6157127</v>
      </c>
      <c r="O49" s="147">
        <f t="shared" si="10"/>
        <v>70893533</v>
      </c>
      <c r="P49" s="149">
        <f>+P40+P42+P43</f>
        <v>0.9233106354002699</v>
      </c>
      <c r="Q49" s="135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.75" thickBot="1">
      <c r="A50" s="123"/>
      <c r="B50" s="104"/>
      <c r="C50" s="15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55"/>
      <c r="P50" s="156"/>
      <c r="Q50" s="15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 thickTop="1">
      <c r="A51" s="123"/>
      <c r="B51" s="121">
        <f ca="1">NOW()</f>
        <v>40948.65149502315</v>
      </c>
      <c r="C51" s="122" t="s">
        <v>58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3"/>
      <c r="B52" s="121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5">
      <c r="A53" s="123"/>
      <c r="B53" s="121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.75">
      <c r="A65" s="12" t="s">
        <v>46</v>
      </c>
      <c r="B65" s="12"/>
      <c r="C65" s="16" t="s">
        <v>47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12"/>
      <c r="P65" s="55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12"/>
      <c r="C66" s="24" t="s">
        <v>2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6.5" thickBot="1">
      <c r="A67" s="12"/>
      <c r="B67" s="26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1998</v>
      </c>
      <c r="P67" s="26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6.5" thickBot="1" thickTop="1">
      <c r="A68" s="12"/>
      <c r="B68" s="30"/>
      <c r="C68" s="32" t="s">
        <v>3</v>
      </c>
      <c r="D68" s="33" t="s">
        <v>4</v>
      </c>
      <c r="E68" s="33" t="s">
        <v>5</v>
      </c>
      <c r="F68" s="33" t="s">
        <v>6</v>
      </c>
      <c r="G68" s="33" t="s">
        <v>7</v>
      </c>
      <c r="H68" s="33" t="s">
        <v>8</v>
      </c>
      <c r="I68" s="33" t="s">
        <v>9</v>
      </c>
      <c r="J68" s="33" t="s">
        <v>10</v>
      </c>
      <c r="K68" s="34" t="s">
        <v>11</v>
      </c>
      <c r="L68" s="33" t="s">
        <v>12</v>
      </c>
      <c r="M68" s="33" t="s">
        <v>13</v>
      </c>
      <c r="N68" s="33" t="s">
        <v>14</v>
      </c>
      <c r="O68" s="35" t="s">
        <v>15</v>
      </c>
      <c r="P68" s="17" t="s">
        <v>16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.75" thickTop="1">
      <c r="A69" s="12"/>
      <c r="B69" s="13"/>
      <c r="C69" s="6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60"/>
      <c r="P69" s="6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42</v>
      </c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"/>
      <c r="P70" s="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 t="s">
        <v>33</v>
      </c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>
        <f>SUM(C71:N71)</f>
        <v>0</v>
      </c>
      <c r="P71" s="5" t="e">
        <f>+O71/$O$95</f>
        <v>#DIV/0!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">
      <c r="A72" s="12"/>
      <c r="B72" s="62" t="s">
        <v>34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>
        <f>SUM(C72:N72)</f>
        <v>0</v>
      </c>
      <c r="P72" s="5" t="e">
        <f>+O72/$O$96</f>
        <v>#DIV/0!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">
      <c r="A73" s="12"/>
      <c r="B73" s="36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4"/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">
      <c r="A74" s="12"/>
      <c r="B74" s="36" t="s">
        <v>43</v>
      </c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4"/>
      <c r="P74" s="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">
      <c r="A75" s="12"/>
      <c r="B75" s="36" t="s">
        <v>33</v>
      </c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4">
        <f>SUM(C75:N75)</f>
        <v>0</v>
      </c>
      <c r="P75" s="5" t="e">
        <f>+O75/$O$95</f>
        <v>#DIV/0!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2" t="s">
        <v>34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>
        <f>SUM(C76:N76)</f>
        <v>0</v>
      </c>
      <c r="P76" s="5" t="e">
        <f>+O76/$O$96</f>
        <v>#DIV/0!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/>
      <c r="P77" s="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32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/>
      <c r="P78" s="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36" t="s">
        <v>33</v>
      </c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>
        <f>SUM(C79:N79)</f>
        <v>0</v>
      </c>
      <c r="P79" s="5" t="e">
        <f>+O79/$O$95</f>
        <v>#DIV/0!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">
      <c r="A80" s="12"/>
      <c r="B80" s="62" t="s">
        <v>34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>
        <f>SUM(C80:N80)</f>
        <v>0</v>
      </c>
      <c r="P80" s="5" t="e">
        <f>+O80/$O$96</f>
        <v>#DIV/0!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">
      <c r="A81" s="12"/>
      <c r="B81" s="36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4"/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">
      <c r="A82" s="12"/>
      <c r="B82" s="62" t="s">
        <v>44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4"/>
      <c r="P82" s="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">
      <c r="A83" s="12"/>
      <c r="B83" s="36" t="s">
        <v>33</v>
      </c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4">
        <f>SUM(C83:N83)</f>
        <v>0</v>
      </c>
      <c r="P83" s="5" t="e">
        <f>+O83/$O$95</f>
        <v>#DIV/0!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">
      <c r="A84" s="12"/>
      <c r="B84" s="62" t="s">
        <v>34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4">
        <f>SUM(C84:N84)</f>
        <v>0</v>
      </c>
      <c r="P84" s="5" t="e">
        <f>+O84/$O$96</f>
        <v>#DIV/0!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2"/>
      <c r="B85" s="36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4"/>
      <c r="P85" s="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5.75">
      <c r="A86" s="12"/>
      <c r="B86" s="66" t="s">
        <v>28</v>
      </c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4"/>
      <c r="P86" s="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5.75">
      <c r="A87" s="12"/>
      <c r="B87" s="67" t="s">
        <v>33</v>
      </c>
      <c r="C87" s="68">
        <f aca="true" t="shared" si="11" ref="C87:N87">+C71+C75+C79+C83</f>
        <v>0</v>
      </c>
      <c r="D87" s="69">
        <f t="shared" si="11"/>
        <v>0</v>
      </c>
      <c r="E87" s="69">
        <f t="shared" si="11"/>
        <v>0</v>
      </c>
      <c r="F87" s="69">
        <f t="shared" si="11"/>
        <v>0</v>
      </c>
      <c r="G87" s="69">
        <f t="shared" si="11"/>
        <v>0</v>
      </c>
      <c r="H87" s="69">
        <f t="shared" si="11"/>
        <v>0</v>
      </c>
      <c r="I87" s="69">
        <f t="shared" si="11"/>
        <v>0</v>
      </c>
      <c r="J87" s="69">
        <f t="shared" si="11"/>
        <v>0</v>
      </c>
      <c r="K87" s="69">
        <f t="shared" si="11"/>
        <v>0</v>
      </c>
      <c r="L87" s="69">
        <f t="shared" si="11"/>
        <v>0</v>
      </c>
      <c r="M87" s="69">
        <f t="shared" si="11"/>
        <v>0</v>
      </c>
      <c r="N87" s="69">
        <f t="shared" si="11"/>
        <v>0</v>
      </c>
      <c r="O87" s="70">
        <f>SUM(C87:N87)</f>
        <v>0</v>
      </c>
      <c r="P87" s="71" t="e">
        <f>+P71+P75+P79+P83</f>
        <v>#DIV/0!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5.75">
      <c r="A88" s="12"/>
      <c r="B88" s="43" t="s">
        <v>34</v>
      </c>
      <c r="C88" s="68">
        <f aca="true" t="shared" si="12" ref="C88:N88">+C72+C76+C80+C84</f>
        <v>0</v>
      </c>
      <c r="D88" s="69">
        <f t="shared" si="12"/>
        <v>0</v>
      </c>
      <c r="E88" s="69">
        <f t="shared" si="12"/>
        <v>0</v>
      </c>
      <c r="F88" s="69">
        <f t="shared" si="12"/>
        <v>0</v>
      </c>
      <c r="G88" s="69">
        <f t="shared" si="12"/>
        <v>0</v>
      </c>
      <c r="H88" s="69">
        <f t="shared" si="12"/>
        <v>0</v>
      </c>
      <c r="I88" s="69">
        <f t="shared" si="12"/>
        <v>0</v>
      </c>
      <c r="J88" s="69">
        <f t="shared" si="12"/>
        <v>0</v>
      </c>
      <c r="K88" s="69">
        <f t="shared" si="12"/>
        <v>0</v>
      </c>
      <c r="L88" s="69">
        <f t="shared" si="12"/>
        <v>0</v>
      </c>
      <c r="M88" s="69">
        <f t="shared" si="12"/>
        <v>0</v>
      </c>
      <c r="N88" s="69">
        <f t="shared" si="12"/>
        <v>0</v>
      </c>
      <c r="O88" s="70">
        <f>SUM(C88:N88)</f>
        <v>0</v>
      </c>
      <c r="P88" s="71" t="e">
        <f>+P72+P76+P80+P84</f>
        <v>#DIV/0!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5.75">
      <c r="A89" s="12"/>
      <c r="B89" s="74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/>
      <c r="P89" s="79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5">
      <c r="A90" s="12"/>
      <c r="B90" s="65" t="s">
        <v>27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4"/>
      <c r="P90" s="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5">
      <c r="A91" s="12"/>
      <c r="B91" s="36" t="s">
        <v>33</v>
      </c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4">
        <f>SUM(C91:N91)</f>
        <v>0</v>
      </c>
      <c r="P91" s="5" t="e">
        <f>+O91/$O$95</f>
        <v>#DIV/0!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5">
      <c r="A92" s="12"/>
      <c r="B92" s="62" t="s">
        <v>34</v>
      </c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4">
        <f>SUM(C92:N92)</f>
        <v>0</v>
      </c>
      <c r="P92" s="5" t="e">
        <f>+O92/$O$96</f>
        <v>#DIV/0!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5">
      <c r="A93" s="12"/>
      <c r="B93" s="6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4"/>
      <c r="P93" s="5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5.75">
      <c r="A94" s="12"/>
      <c r="B94" s="43" t="s">
        <v>45</v>
      </c>
      <c r="C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4"/>
      <c r="P94" s="5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5.75">
      <c r="A95" s="12"/>
      <c r="B95" s="67" t="s">
        <v>33</v>
      </c>
      <c r="C95" s="68">
        <f aca="true" t="shared" si="13" ref="C95:P95">+C87+C91</f>
        <v>0</v>
      </c>
      <c r="D95" s="69">
        <f t="shared" si="13"/>
        <v>0</v>
      </c>
      <c r="E95" s="69">
        <f t="shared" si="13"/>
        <v>0</v>
      </c>
      <c r="F95" s="69">
        <f t="shared" si="13"/>
        <v>0</v>
      </c>
      <c r="G95" s="69">
        <f t="shared" si="13"/>
        <v>0</v>
      </c>
      <c r="H95" s="69">
        <f t="shared" si="13"/>
        <v>0</v>
      </c>
      <c r="I95" s="69">
        <f t="shared" si="13"/>
        <v>0</v>
      </c>
      <c r="J95" s="69">
        <f t="shared" si="13"/>
        <v>0</v>
      </c>
      <c r="K95" s="69">
        <f t="shared" si="13"/>
        <v>0</v>
      </c>
      <c r="L95" s="69">
        <f t="shared" si="13"/>
        <v>0</v>
      </c>
      <c r="M95" s="69">
        <f t="shared" si="13"/>
        <v>0</v>
      </c>
      <c r="N95" s="69">
        <f t="shared" si="13"/>
        <v>0</v>
      </c>
      <c r="O95" s="68">
        <f t="shared" si="13"/>
        <v>0</v>
      </c>
      <c r="P95" s="71" t="e">
        <f t="shared" si="13"/>
        <v>#DIV/0!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5.75">
      <c r="A96" s="12"/>
      <c r="B96" s="43" t="s">
        <v>34</v>
      </c>
      <c r="C96" s="68">
        <f aca="true" t="shared" si="14" ref="C96:P96">+C88+C92</f>
        <v>0</v>
      </c>
      <c r="D96" s="69">
        <f t="shared" si="14"/>
        <v>0</v>
      </c>
      <c r="E96" s="69">
        <f t="shared" si="14"/>
        <v>0</v>
      </c>
      <c r="F96" s="69">
        <f t="shared" si="14"/>
        <v>0</v>
      </c>
      <c r="G96" s="69">
        <f t="shared" si="14"/>
        <v>0</v>
      </c>
      <c r="H96" s="69">
        <f t="shared" si="14"/>
        <v>0</v>
      </c>
      <c r="I96" s="69">
        <f t="shared" si="14"/>
        <v>0</v>
      </c>
      <c r="J96" s="69">
        <f t="shared" si="14"/>
        <v>0</v>
      </c>
      <c r="K96" s="69">
        <f t="shared" si="14"/>
        <v>0</v>
      </c>
      <c r="L96" s="69">
        <f t="shared" si="14"/>
        <v>0</v>
      </c>
      <c r="M96" s="69">
        <f t="shared" si="14"/>
        <v>0</v>
      </c>
      <c r="N96" s="69">
        <f t="shared" si="14"/>
        <v>0</v>
      </c>
      <c r="O96" s="68">
        <f t="shared" si="14"/>
        <v>0</v>
      </c>
      <c r="P96" s="71" t="e">
        <f t="shared" si="14"/>
        <v>#DIV/0!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5.75" thickBot="1">
      <c r="A97" s="12"/>
      <c r="B97" s="30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21"/>
      <c r="P97" s="2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5.75" thickTop="1">
      <c r="A98" s="12"/>
      <c r="B98" s="1" t="s">
        <v>40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5">
      <c r="A99" s="15" t="s">
        <v>30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5" t="s">
        <v>30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95"/>
  <sheetViews>
    <sheetView zoomScale="85" zoomScaleNormal="85" zoomScalePageLayoutView="0" workbookViewId="0" topLeftCell="A22">
      <selection activeCell="A45" sqref="A45:IV45"/>
    </sheetView>
  </sheetViews>
  <sheetFormatPr defaultColWidth="11.5546875" defaultRowHeight="15"/>
  <cols>
    <col min="1" max="1" width="4.10546875" style="0" customWidth="1"/>
    <col min="2" max="2" width="12.21484375" style="0" customWidth="1"/>
    <col min="3" max="3" width="9.88671875" style="0" customWidth="1"/>
    <col min="4" max="4" width="8.4453125" style="0" customWidth="1"/>
    <col min="5" max="5" width="7.4453125" style="0" customWidth="1"/>
    <col min="6" max="6" width="8.10546875" style="0" customWidth="1"/>
    <col min="7" max="7" width="6.6640625" style="0" customWidth="1"/>
    <col min="8" max="8" width="7.77734375" style="0" customWidth="1"/>
    <col min="9" max="9" width="10.99609375" style="0" bestFit="1" customWidth="1"/>
    <col min="10" max="10" width="7.6640625" style="0" customWidth="1"/>
    <col min="11" max="11" width="8.6640625" style="0" customWidth="1"/>
    <col min="12" max="12" width="7.6640625" style="0" customWidth="1"/>
    <col min="13" max="13" width="9.10546875" style="0" customWidth="1"/>
    <col min="14" max="14" width="10.214843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101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165991</v>
      </c>
      <c r="D6" s="111">
        <v>129312</v>
      </c>
      <c r="E6" s="111">
        <v>155076</v>
      </c>
      <c r="F6" s="111">
        <v>150503</v>
      </c>
      <c r="G6" s="111">
        <v>169993</v>
      </c>
      <c r="H6" s="111">
        <v>135229</v>
      </c>
      <c r="I6" s="111">
        <v>70518</v>
      </c>
      <c r="J6" s="111">
        <v>62701</v>
      </c>
      <c r="K6" s="111">
        <v>74079</v>
      </c>
      <c r="L6" s="111">
        <v>126323</v>
      </c>
      <c r="M6" s="111">
        <v>170284</v>
      </c>
      <c r="N6" s="111">
        <v>164528</v>
      </c>
      <c r="O6" s="133">
        <f aca="true" t="shared" si="0" ref="O6:O14">SUM(C6:N6)</f>
        <v>1574537</v>
      </c>
      <c r="P6" s="134">
        <f aca="true" t="shared" si="1" ref="P6:P15">+O6/$O$19</f>
        <v>0.11105157623234731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103875</v>
      </c>
      <c r="D7" s="111">
        <v>105314</v>
      </c>
      <c r="E7" s="111">
        <v>140192</v>
      </c>
      <c r="F7" s="111">
        <v>143094</v>
      </c>
      <c r="G7" s="111">
        <v>122306</v>
      </c>
      <c r="H7" s="111">
        <v>98608</v>
      </c>
      <c r="I7" s="111">
        <v>55428</v>
      </c>
      <c r="J7" s="111">
        <v>29983</v>
      </c>
      <c r="K7" s="111">
        <v>29151</v>
      </c>
      <c r="L7" s="111">
        <v>62504</v>
      </c>
      <c r="M7" s="111">
        <v>127644</v>
      </c>
      <c r="N7" s="111">
        <v>89778</v>
      </c>
      <c r="O7" s="133">
        <f t="shared" si="0"/>
        <v>1107877</v>
      </c>
      <c r="P7" s="134">
        <f t="shared" si="1"/>
        <v>0.0781382000686959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126333</v>
      </c>
      <c r="D8" s="111">
        <v>135833</v>
      </c>
      <c r="E8" s="111">
        <v>135742</v>
      </c>
      <c r="F8" s="111">
        <v>146128</v>
      </c>
      <c r="G8" s="111">
        <v>136803</v>
      </c>
      <c r="H8" s="111">
        <v>104676</v>
      </c>
      <c r="I8" s="111">
        <v>61465</v>
      </c>
      <c r="J8" s="111">
        <v>56988</v>
      </c>
      <c r="K8" s="111">
        <v>67945</v>
      </c>
      <c r="L8" s="111">
        <v>88652</v>
      </c>
      <c r="M8" s="111">
        <v>81027</v>
      </c>
      <c r="N8" s="111">
        <v>102787</v>
      </c>
      <c r="O8" s="133">
        <f t="shared" si="0"/>
        <v>1244379</v>
      </c>
      <c r="P8" s="134">
        <f t="shared" si="1"/>
        <v>0.0877656411887635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135701</v>
      </c>
      <c r="D9" s="111">
        <v>131480</v>
      </c>
      <c r="E9" s="111">
        <v>137788</v>
      </c>
      <c r="F9" s="111">
        <f>117068</f>
        <v>117068</v>
      </c>
      <c r="G9" s="111">
        <v>128137</v>
      </c>
      <c r="H9" s="111">
        <v>102954</v>
      </c>
      <c r="I9" s="111">
        <v>37268</v>
      </c>
      <c r="J9" s="111">
        <v>38213</v>
      </c>
      <c r="K9" s="111">
        <v>63168</v>
      </c>
      <c r="L9" s="111">
        <v>82577</v>
      </c>
      <c r="M9" s="111">
        <v>80470</v>
      </c>
      <c r="N9" s="111">
        <v>116419</v>
      </c>
      <c r="O9" s="133">
        <f t="shared" si="0"/>
        <v>1171243</v>
      </c>
      <c r="P9" s="134">
        <f t="shared" si="1"/>
        <v>0.08260738318699602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227629</v>
      </c>
      <c r="D10" s="111">
        <v>173852</v>
      </c>
      <c r="E10" s="111">
        <v>275860</v>
      </c>
      <c r="F10" s="111">
        <v>232016</v>
      </c>
      <c r="G10" s="111">
        <v>218159</v>
      </c>
      <c r="H10" s="111">
        <v>151155</v>
      </c>
      <c r="I10" s="111">
        <v>29346</v>
      </c>
      <c r="J10" s="111">
        <v>41521</v>
      </c>
      <c r="K10" s="111">
        <v>79088</v>
      </c>
      <c r="L10" s="111">
        <v>155257</v>
      </c>
      <c r="M10" s="111">
        <v>176435</v>
      </c>
      <c r="N10" s="111">
        <v>230469</v>
      </c>
      <c r="O10" s="133">
        <f t="shared" si="0"/>
        <v>1990787</v>
      </c>
      <c r="P10" s="134">
        <f t="shared" si="1"/>
        <v>0.14040955169225366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75413</v>
      </c>
      <c r="D11" s="111">
        <v>60431</v>
      </c>
      <c r="E11" s="111">
        <v>65327</v>
      </c>
      <c r="F11" s="111">
        <v>86896</v>
      </c>
      <c r="G11" s="111">
        <v>66738</v>
      </c>
      <c r="H11" s="111">
        <v>52460</v>
      </c>
      <c r="I11" s="111">
        <v>23285</v>
      </c>
      <c r="J11" s="111">
        <v>22350</v>
      </c>
      <c r="K11" s="111">
        <v>37670</v>
      </c>
      <c r="L11" s="111">
        <v>64019</v>
      </c>
      <c r="M11" s="111">
        <v>61174</v>
      </c>
      <c r="N11" s="111">
        <v>65712</v>
      </c>
      <c r="O11" s="133">
        <f t="shared" si="0"/>
        <v>681475</v>
      </c>
      <c r="P11" s="134">
        <f t="shared" si="1"/>
        <v>0.04806420739108632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120172</v>
      </c>
      <c r="D12" s="111">
        <v>100450</v>
      </c>
      <c r="E12" s="111">
        <v>113560</v>
      </c>
      <c r="F12" s="111">
        <v>100788</v>
      </c>
      <c r="G12" s="111">
        <v>105592</v>
      </c>
      <c r="H12" s="111">
        <v>82183</v>
      </c>
      <c r="I12" s="111">
        <v>42921</v>
      </c>
      <c r="J12" s="111">
        <v>55101</v>
      </c>
      <c r="K12" s="111">
        <v>73212</v>
      </c>
      <c r="L12" s="111">
        <v>116123</v>
      </c>
      <c r="M12" s="111">
        <f>60233+9816</f>
        <v>70049</v>
      </c>
      <c r="N12" s="111">
        <v>119475</v>
      </c>
      <c r="O12" s="133">
        <f t="shared" si="0"/>
        <v>1099626</v>
      </c>
      <c r="P12" s="134">
        <f t="shared" si="1"/>
        <v>0.0775562597551351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124396</v>
      </c>
      <c r="D13" s="111">
        <v>111309</v>
      </c>
      <c r="E13" s="111">
        <v>115778</v>
      </c>
      <c r="F13" s="111">
        <v>124566</v>
      </c>
      <c r="G13" s="111">
        <v>123750</v>
      </c>
      <c r="H13" s="111">
        <v>89734</v>
      </c>
      <c r="I13" s="111">
        <v>65994</v>
      </c>
      <c r="J13" s="111">
        <v>73100</v>
      </c>
      <c r="K13" s="111">
        <v>96063</v>
      </c>
      <c r="L13" s="111">
        <v>118440</v>
      </c>
      <c r="M13" s="111">
        <v>131099</v>
      </c>
      <c r="N13" s="111">
        <v>163356</v>
      </c>
      <c r="O13" s="133">
        <f t="shared" si="0"/>
        <v>1337585</v>
      </c>
      <c r="P13" s="134">
        <f t="shared" si="1"/>
        <v>0.09433942968297618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192925</v>
      </c>
      <c r="D14" s="111">
        <v>186963</v>
      </c>
      <c r="E14" s="111">
        <v>212766</v>
      </c>
      <c r="F14" s="111">
        <v>187581</v>
      </c>
      <c r="G14" s="111">
        <v>199736</v>
      </c>
      <c r="H14" s="111">
        <v>124499</v>
      </c>
      <c r="I14" s="111">
        <v>41688</v>
      </c>
      <c r="J14" s="111">
        <v>21840</v>
      </c>
      <c r="K14" s="111">
        <v>33456</v>
      </c>
      <c r="L14" s="111">
        <v>110353</v>
      </c>
      <c r="M14" s="111">
        <v>161997</v>
      </c>
      <c r="N14" s="111">
        <v>154520</v>
      </c>
      <c r="O14" s="133">
        <f t="shared" si="0"/>
        <v>1628324</v>
      </c>
      <c r="P14" s="134">
        <f t="shared" si="1"/>
        <v>0.11484515563429802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O15">SUM(C6:C14)</f>
        <v>1272435</v>
      </c>
      <c r="D15" s="114">
        <f t="shared" si="2"/>
        <v>1134944</v>
      </c>
      <c r="E15" s="114">
        <f t="shared" si="2"/>
        <v>1352089</v>
      </c>
      <c r="F15" s="114">
        <f t="shared" si="2"/>
        <v>1288640</v>
      </c>
      <c r="G15" s="114">
        <f t="shared" si="2"/>
        <v>1271214</v>
      </c>
      <c r="H15" s="114">
        <f t="shared" si="2"/>
        <v>941498</v>
      </c>
      <c r="I15" s="114">
        <f t="shared" si="2"/>
        <v>427913</v>
      </c>
      <c r="J15" s="114">
        <f t="shared" si="2"/>
        <v>401797</v>
      </c>
      <c r="K15" s="114">
        <f t="shared" si="2"/>
        <v>553832</v>
      </c>
      <c r="L15" s="114">
        <f t="shared" si="2"/>
        <v>924248</v>
      </c>
      <c r="M15" s="114">
        <f t="shared" si="2"/>
        <v>1060179</v>
      </c>
      <c r="N15" s="114">
        <f t="shared" si="2"/>
        <v>1207044</v>
      </c>
      <c r="O15" s="114">
        <f t="shared" si="2"/>
        <v>11835833</v>
      </c>
      <c r="P15" s="138">
        <f t="shared" si="1"/>
        <v>0.834777404832552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66" s="115" customFormat="1" ht="15">
      <c r="A16" s="136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37"/>
      <c r="P16" s="138"/>
      <c r="Q16" s="139"/>
      <c r="R16" s="118"/>
      <c r="S16" s="118"/>
      <c r="T16" s="119"/>
      <c r="U16" s="120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</row>
    <row r="17" spans="1:35" ht="15">
      <c r="A17" s="123"/>
      <c r="B17" s="108" t="s">
        <v>27</v>
      </c>
      <c r="C17" s="110">
        <v>193874</v>
      </c>
      <c r="D17" s="111">
        <v>136403</v>
      </c>
      <c r="E17" s="111">
        <v>239810</v>
      </c>
      <c r="F17" s="111">
        <v>274579</v>
      </c>
      <c r="G17" s="111">
        <v>257480</v>
      </c>
      <c r="H17" s="111">
        <v>212597</v>
      </c>
      <c r="I17" s="111">
        <v>26898</v>
      </c>
      <c r="J17" s="111">
        <v>62478</v>
      </c>
      <c r="K17" s="111">
        <v>103062</v>
      </c>
      <c r="L17" s="111">
        <v>249175</v>
      </c>
      <c r="M17" s="111">
        <v>276819</v>
      </c>
      <c r="N17" s="111">
        <v>309422</v>
      </c>
      <c r="O17" s="133">
        <f>SUM(C17:N17)</f>
        <v>2342597</v>
      </c>
      <c r="P17" s="134">
        <f>+O17/$O$19</f>
        <v>0.16522259516744803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P19">+C15+C17</f>
        <v>1466309</v>
      </c>
      <c r="D19" s="148">
        <f t="shared" si="3"/>
        <v>1271347</v>
      </c>
      <c r="E19" s="148">
        <f t="shared" si="3"/>
        <v>1591899</v>
      </c>
      <c r="F19" s="148">
        <f t="shared" si="3"/>
        <v>1563219</v>
      </c>
      <c r="G19" s="148">
        <f t="shared" si="3"/>
        <v>1528694</v>
      </c>
      <c r="H19" s="148">
        <f t="shared" si="3"/>
        <v>1154095</v>
      </c>
      <c r="I19" s="148">
        <f t="shared" si="3"/>
        <v>454811</v>
      </c>
      <c r="J19" s="148">
        <f t="shared" si="3"/>
        <v>464275</v>
      </c>
      <c r="K19" s="148">
        <f t="shared" si="3"/>
        <v>656894</v>
      </c>
      <c r="L19" s="148">
        <f t="shared" si="3"/>
        <v>1173423</v>
      </c>
      <c r="M19" s="148">
        <f t="shared" si="3"/>
        <v>1336998</v>
      </c>
      <c r="N19" s="148">
        <f t="shared" si="3"/>
        <v>1516466</v>
      </c>
      <c r="O19" s="147">
        <f t="shared" si="3"/>
        <v>14178430</v>
      </c>
      <c r="P19" s="149">
        <f t="shared" si="3"/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51">
        <f>C19</f>
        <v>1466309</v>
      </c>
      <c r="D20" s="151">
        <f aca="true" t="shared" si="4" ref="D20:N20">C20+D19</f>
        <v>2737656</v>
      </c>
      <c r="E20" s="151">
        <f t="shared" si="4"/>
        <v>4329555</v>
      </c>
      <c r="F20" s="151">
        <f t="shared" si="4"/>
        <v>5892774</v>
      </c>
      <c r="G20" s="151">
        <f t="shared" si="4"/>
        <v>7421468</v>
      </c>
      <c r="H20" s="151">
        <f t="shared" si="4"/>
        <v>8575563</v>
      </c>
      <c r="I20" s="151">
        <f t="shared" si="4"/>
        <v>9030374</v>
      </c>
      <c r="J20" s="151">
        <f t="shared" si="4"/>
        <v>9494649</v>
      </c>
      <c r="K20" s="151">
        <f t="shared" si="4"/>
        <v>10151543</v>
      </c>
      <c r="L20" s="151">
        <f t="shared" si="4"/>
        <v>11324966</v>
      </c>
      <c r="M20" s="151">
        <f t="shared" si="4"/>
        <v>12661964</v>
      </c>
      <c r="N20" s="151">
        <f t="shared" si="4"/>
        <v>14178430</v>
      </c>
      <c r="O20" s="151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102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2004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>
        <f aca="true" t="shared" si="5" ref="O30:O39">SUM(C30:N30)</f>
        <v>0</v>
      </c>
      <c r="P30" s="134">
        <f aca="true" t="shared" si="6" ref="P30:P40">+O30/$O$45</f>
        <v>0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736429</v>
      </c>
      <c r="D31" s="111">
        <v>569896</v>
      </c>
      <c r="E31" s="111">
        <v>695638</v>
      </c>
      <c r="F31" s="111">
        <v>707519</v>
      </c>
      <c r="G31" s="111">
        <v>762967</v>
      </c>
      <c r="H31" s="111">
        <v>538712</v>
      </c>
      <c r="I31" s="111">
        <v>263195</v>
      </c>
      <c r="J31" s="111">
        <v>252242</v>
      </c>
      <c r="K31" s="111">
        <v>305784</v>
      </c>
      <c r="L31" s="111">
        <v>538503</v>
      </c>
      <c r="M31" s="111">
        <v>781091</v>
      </c>
      <c r="N31" s="111">
        <v>760365</v>
      </c>
      <c r="O31" s="133">
        <f t="shared" si="5"/>
        <v>6912341</v>
      </c>
      <c r="P31" s="134">
        <f t="shared" si="6"/>
        <v>0.11696839707728807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454900</v>
      </c>
      <c r="D32" s="111">
        <v>456727</v>
      </c>
      <c r="E32" s="111">
        <v>613121</v>
      </c>
      <c r="F32" s="111">
        <v>641466</v>
      </c>
      <c r="G32" s="111">
        <v>526742</v>
      </c>
      <c r="H32" s="111">
        <v>392561</v>
      </c>
      <c r="I32" s="111">
        <v>203961</v>
      </c>
      <c r="J32" s="111">
        <v>114003</v>
      </c>
      <c r="K32" s="111">
        <v>114200</v>
      </c>
      <c r="L32" s="111">
        <v>263044</v>
      </c>
      <c r="M32" s="111">
        <v>547163</v>
      </c>
      <c r="N32" s="111">
        <v>398370</v>
      </c>
      <c r="O32" s="133">
        <f t="shared" si="5"/>
        <v>4726258</v>
      </c>
      <c r="P32" s="134">
        <f t="shared" si="6"/>
        <v>0.07997620812308151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539930</v>
      </c>
      <c r="D33" s="111">
        <v>582813</v>
      </c>
      <c r="E33" s="111">
        <v>585043</v>
      </c>
      <c r="F33" s="111">
        <v>665114</v>
      </c>
      <c r="G33" s="111">
        <v>591359</v>
      </c>
      <c r="H33" s="111">
        <v>411538</v>
      </c>
      <c r="I33" s="111">
        <v>235934</v>
      </c>
      <c r="J33" s="111">
        <v>215233</v>
      </c>
      <c r="K33" s="111">
        <v>273275</v>
      </c>
      <c r="L33" s="111">
        <v>367377</v>
      </c>
      <c r="M33" s="111">
        <v>347516</v>
      </c>
      <c r="N33" s="111">
        <v>457991</v>
      </c>
      <c r="O33" s="133">
        <f t="shared" si="5"/>
        <v>5273123</v>
      </c>
      <c r="P33" s="134">
        <f t="shared" si="6"/>
        <v>0.08923008064870938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v>607935</v>
      </c>
      <c r="D34" s="111">
        <f>396838+208915</f>
        <v>605753</v>
      </c>
      <c r="E34" s="111">
        <f>451261+201219</f>
        <v>652480</v>
      </c>
      <c r="F34" s="111">
        <f>401526+201492</f>
        <v>603018</v>
      </c>
      <c r="G34" s="111">
        <f>376681+233906</f>
        <v>610587</v>
      </c>
      <c r="H34" s="111">
        <v>428110</v>
      </c>
      <c r="I34" s="111">
        <v>144022</v>
      </c>
      <c r="J34" s="111">
        <v>74709</v>
      </c>
      <c r="K34" s="111">
        <v>147663</v>
      </c>
      <c r="L34" s="111">
        <v>211415</v>
      </c>
      <c r="M34" s="111">
        <v>237577</v>
      </c>
      <c r="N34" s="111">
        <v>313637</v>
      </c>
      <c r="O34" s="133">
        <f>SUM(D34:N34)</f>
        <v>4028971</v>
      </c>
      <c r="P34" s="134">
        <f t="shared" si="6"/>
        <v>0.06817694320070124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991261</v>
      </c>
      <c r="D35" s="111">
        <v>757624</v>
      </c>
      <c r="E35" s="111">
        <v>1205034</v>
      </c>
      <c r="F35" s="111">
        <v>1054835</v>
      </c>
      <c r="G35" s="111">
        <v>980767</v>
      </c>
      <c r="H35" s="111">
        <v>604875</v>
      </c>
      <c r="I35" s="111">
        <v>118911</v>
      </c>
      <c r="J35" s="111">
        <v>170497</v>
      </c>
      <c r="K35" s="111">
        <v>337295</v>
      </c>
      <c r="L35" s="111">
        <v>682197</v>
      </c>
      <c r="M35" s="111">
        <v>788414</v>
      </c>
      <c r="N35" s="111">
        <v>1039630</v>
      </c>
      <c r="O35" s="133">
        <f t="shared" si="5"/>
        <v>8731340</v>
      </c>
      <c r="P35" s="134">
        <f t="shared" si="6"/>
        <v>0.1477489093979606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324520</v>
      </c>
      <c r="D36" s="111">
        <v>259980</v>
      </c>
      <c r="E36" s="111">
        <v>285766</v>
      </c>
      <c r="F36" s="111">
        <v>389277</v>
      </c>
      <c r="G36" s="111">
        <v>284193</v>
      </c>
      <c r="H36" s="111">
        <v>219140</v>
      </c>
      <c r="I36" s="111">
        <v>89332</v>
      </c>
      <c r="J36" s="111">
        <v>92603</v>
      </c>
      <c r="K36" s="111">
        <v>153278</v>
      </c>
      <c r="L36" s="111">
        <v>232342</v>
      </c>
      <c r="M36" s="111">
        <v>259623</v>
      </c>
      <c r="N36" s="111">
        <v>293961</v>
      </c>
      <c r="O36" s="133">
        <f t="shared" si="5"/>
        <v>2884015</v>
      </c>
      <c r="P36" s="134">
        <f t="shared" si="6"/>
        <v>0.048802368357819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538444</v>
      </c>
      <c r="D37" s="111">
        <v>558000</v>
      </c>
      <c r="E37" s="111">
        <v>512513</v>
      </c>
      <c r="F37" s="111">
        <v>540698</v>
      </c>
      <c r="G37" s="111">
        <v>472505</v>
      </c>
      <c r="H37" s="111">
        <v>369240</v>
      </c>
      <c r="I37" s="111">
        <v>189721</v>
      </c>
      <c r="J37" s="111">
        <v>231432</v>
      </c>
      <c r="K37" s="111">
        <v>312849</v>
      </c>
      <c r="L37" s="111">
        <v>571303</v>
      </c>
      <c r="M37" s="111">
        <v>325954</v>
      </c>
      <c r="N37" s="111">
        <v>537638</v>
      </c>
      <c r="O37" s="133">
        <f t="shared" si="5"/>
        <v>5160297</v>
      </c>
      <c r="P37" s="134">
        <f t="shared" si="6"/>
        <v>0.08732087559521996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551325</v>
      </c>
      <c r="D38" s="111">
        <v>495630</v>
      </c>
      <c r="E38" s="111">
        <v>517130</v>
      </c>
      <c r="F38" s="111">
        <v>579465</v>
      </c>
      <c r="G38" s="111">
        <v>546207</v>
      </c>
      <c r="H38" s="111">
        <v>377260</v>
      </c>
      <c r="I38" s="111">
        <v>258955</v>
      </c>
      <c r="J38" s="111">
        <v>293995</v>
      </c>
      <c r="K38" s="111">
        <v>374710</v>
      </c>
      <c r="L38" s="111">
        <v>500075</v>
      </c>
      <c r="M38" s="111">
        <v>559910</v>
      </c>
      <c r="N38" s="111">
        <v>711465</v>
      </c>
      <c r="O38" s="133">
        <f t="shared" si="5"/>
        <v>5766127</v>
      </c>
      <c r="P38" s="134">
        <f t="shared" si="6"/>
        <v>0.09757253476558402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905174</v>
      </c>
      <c r="D39" s="111">
        <v>807211</v>
      </c>
      <c r="E39" s="111">
        <v>949682</v>
      </c>
      <c r="F39" s="111">
        <v>846676</v>
      </c>
      <c r="G39" s="111">
        <v>844211</v>
      </c>
      <c r="H39" s="111">
        <v>483014</v>
      </c>
      <c r="I39" s="111">
        <v>152379</v>
      </c>
      <c r="J39" s="111">
        <v>93323</v>
      </c>
      <c r="K39" s="111">
        <v>117365</v>
      </c>
      <c r="L39" s="111">
        <v>464026</v>
      </c>
      <c r="M39" s="111">
        <v>706680</v>
      </c>
      <c r="N39" s="111">
        <v>709307</v>
      </c>
      <c r="O39" s="133">
        <f t="shared" si="5"/>
        <v>7079048</v>
      </c>
      <c r="P39" s="134">
        <f t="shared" si="6"/>
        <v>0.11978935897305731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5649918</v>
      </c>
      <c r="D40" s="164">
        <f t="shared" si="7"/>
        <v>5093634</v>
      </c>
      <c r="E40" s="164">
        <f t="shared" si="7"/>
        <v>6016407</v>
      </c>
      <c r="F40" s="164">
        <f t="shared" si="7"/>
        <v>6028068</v>
      </c>
      <c r="G40" s="164">
        <f t="shared" si="7"/>
        <v>5619538</v>
      </c>
      <c r="H40" s="164">
        <f t="shared" si="7"/>
        <v>3824450</v>
      </c>
      <c r="I40" s="164">
        <f t="shared" si="7"/>
        <v>1656410</v>
      </c>
      <c r="J40" s="164">
        <f t="shared" si="7"/>
        <v>1538037</v>
      </c>
      <c r="K40" s="164">
        <f t="shared" si="7"/>
        <v>2136419</v>
      </c>
      <c r="L40" s="164">
        <f t="shared" si="7"/>
        <v>3830282</v>
      </c>
      <c r="M40" s="164">
        <f t="shared" si="7"/>
        <v>4553928</v>
      </c>
      <c r="N40" s="164">
        <f t="shared" si="7"/>
        <v>5222364</v>
      </c>
      <c r="O40" s="133">
        <f t="shared" si="7"/>
        <v>50561520</v>
      </c>
      <c r="P40" s="134">
        <f t="shared" si="6"/>
        <v>0.855585676139421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187911</v>
      </c>
      <c r="D42" s="110">
        <v>125129</v>
      </c>
      <c r="E42" s="110">
        <v>273875</v>
      </c>
      <c r="F42" s="110">
        <v>321479</v>
      </c>
      <c r="G42" s="110">
        <v>325437</v>
      </c>
      <c r="H42" s="110">
        <v>225765</v>
      </c>
      <c r="I42" s="111">
        <v>10032</v>
      </c>
      <c r="J42" s="110">
        <v>60805</v>
      </c>
      <c r="K42" s="110">
        <v>119245</v>
      </c>
      <c r="L42" s="111">
        <v>250205</v>
      </c>
      <c r="M42" s="111">
        <v>317663</v>
      </c>
      <c r="N42" s="111"/>
      <c r="O42" s="133">
        <f>SUM(C42:N42)</f>
        <v>2217546</v>
      </c>
      <c r="P42" s="134">
        <f>+O42/$O$45</f>
        <v>0.03752459565654412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604014</v>
      </c>
      <c r="D43" s="111">
        <v>440559</v>
      </c>
      <c r="E43" s="111">
        <v>751638</v>
      </c>
      <c r="F43" s="111">
        <v>917413</v>
      </c>
      <c r="G43" s="111">
        <v>800133</v>
      </c>
      <c r="H43" s="111">
        <v>619346</v>
      </c>
      <c r="I43" s="111">
        <v>87918</v>
      </c>
      <c r="J43" s="110">
        <v>171233</v>
      </c>
      <c r="K43" s="111">
        <v>279315</v>
      </c>
      <c r="L43" s="111">
        <v>779209</v>
      </c>
      <c r="M43" s="111">
        <v>865956</v>
      </c>
      <c r="N43" s="111"/>
      <c r="O43" s="133">
        <f>SUM(C43:N43)</f>
        <v>6316734</v>
      </c>
      <c r="P43" s="134">
        <f>+O43/$O$45</f>
        <v>0.1068897282040348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 aca="true" t="shared" si="8" ref="C45:P45">+C40+C42+C43</f>
        <v>6441843</v>
      </c>
      <c r="D45" s="148">
        <f t="shared" si="8"/>
        <v>5659322</v>
      </c>
      <c r="E45" s="148">
        <f t="shared" si="8"/>
        <v>7041920</v>
      </c>
      <c r="F45" s="148">
        <f t="shared" si="8"/>
        <v>7266960</v>
      </c>
      <c r="G45" s="148">
        <f t="shared" si="8"/>
        <v>6745108</v>
      </c>
      <c r="H45" s="148">
        <f t="shared" si="8"/>
        <v>4669561</v>
      </c>
      <c r="I45" s="148">
        <f t="shared" si="8"/>
        <v>1754360</v>
      </c>
      <c r="J45" s="148">
        <f t="shared" si="8"/>
        <v>1770075</v>
      </c>
      <c r="K45" s="148">
        <f t="shared" si="8"/>
        <v>2534979</v>
      </c>
      <c r="L45" s="148">
        <f t="shared" si="8"/>
        <v>4859696</v>
      </c>
      <c r="M45" s="148">
        <f t="shared" si="8"/>
        <v>5737547</v>
      </c>
      <c r="N45" s="148">
        <f t="shared" si="8"/>
        <v>5222364</v>
      </c>
      <c r="O45" s="147">
        <f>+O40+O42+O43</f>
        <v>59095800</v>
      </c>
      <c r="P45" s="149">
        <f t="shared" si="8"/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3"/>
      <c r="B48" s="121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1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1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">
      <c r="A51" s="123"/>
      <c r="B51" s="121"/>
      <c r="C51" s="195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3"/>
      <c r="B52" s="121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5">
      <c r="A53" s="122" t="s">
        <v>30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2" t="s">
        <v>30</v>
      </c>
      <c r="Q53" s="12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.75">
      <c r="A61" s="12" t="s">
        <v>46</v>
      </c>
      <c r="B61" s="12"/>
      <c r="C61" s="16" t="s">
        <v>47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2"/>
      <c r="P61" s="55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12"/>
      <c r="C62" s="24" t="s">
        <v>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6.5" thickBot="1">
      <c r="A63" s="12"/>
      <c r="B63" s="26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1998</v>
      </c>
      <c r="P63" s="26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6.5" thickBot="1" thickTop="1">
      <c r="A64" s="12"/>
      <c r="B64" s="30"/>
      <c r="C64" s="32" t="s">
        <v>3</v>
      </c>
      <c r="D64" s="33" t="s">
        <v>4</v>
      </c>
      <c r="E64" s="33" t="s">
        <v>5</v>
      </c>
      <c r="F64" s="33" t="s">
        <v>6</v>
      </c>
      <c r="G64" s="33" t="s">
        <v>7</v>
      </c>
      <c r="H64" s="33" t="s">
        <v>8</v>
      </c>
      <c r="I64" s="33" t="s">
        <v>9</v>
      </c>
      <c r="J64" s="33" t="s">
        <v>10</v>
      </c>
      <c r="K64" s="34" t="s">
        <v>11</v>
      </c>
      <c r="L64" s="33" t="s">
        <v>12</v>
      </c>
      <c r="M64" s="33" t="s">
        <v>13</v>
      </c>
      <c r="N64" s="33" t="s">
        <v>14</v>
      </c>
      <c r="O64" s="35" t="s">
        <v>15</v>
      </c>
      <c r="P64" s="17" t="s">
        <v>16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.75" thickTop="1">
      <c r="A65" s="12"/>
      <c r="B65" s="13"/>
      <c r="C65" s="6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60"/>
      <c r="P65" s="6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42</v>
      </c>
      <c r="C66" s="37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"/>
      <c r="P66" s="5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 t="s">
        <v>33</v>
      </c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>
        <f>SUM(C67:N67)</f>
        <v>0</v>
      </c>
      <c r="P67" s="5" t="e">
        <f>+O67/$O$91</f>
        <v>#DIV/0!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34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>
        <f>SUM(C68:N68)</f>
        <v>0</v>
      </c>
      <c r="P68" s="5" t="e">
        <f>+O68/$O$92</f>
        <v>#DIV/0!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/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/>
      <c r="P69" s="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36" t="s">
        <v>43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/>
      <c r="P70" s="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 t="s">
        <v>33</v>
      </c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>
        <f>SUM(C71:N71)</f>
        <v>0</v>
      </c>
      <c r="P71" s="5" t="e">
        <f>+O71/$O$91</f>
        <v>#DIV/0!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">
      <c r="A72" s="12"/>
      <c r="B72" s="62" t="s">
        <v>34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>
        <f>SUM(C72:N72)</f>
        <v>0</v>
      </c>
      <c r="P72" s="5" t="e">
        <f>+O72/$O$92</f>
        <v>#DIV/0!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">
      <c r="A73" s="12"/>
      <c r="B73" s="36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4"/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">
      <c r="A74" s="12"/>
      <c r="B74" s="62" t="s">
        <v>32</v>
      </c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4"/>
      <c r="P74" s="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">
      <c r="A75" s="12"/>
      <c r="B75" s="36" t="s">
        <v>33</v>
      </c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4">
        <f>SUM(C75:N75)</f>
        <v>0</v>
      </c>
      <c r="P75" s="5" t="e">
        <f>+O75/$O$91</f>
        <v>#DIV/0!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2" t="s">
        <v>34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>
        <f>SUM(C76:N76)</f>
        <v>0</v>
      </c>
      <c r="P76" s="5" t="e">
        <f>+O76/$O$92</f>
        <v>#DIV/0!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/>
      <c r="P77" s="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44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/>
      <c r="P78" s="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36" t="s">
        <v>33</v>
      </c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>
        <f>SUM(C79:N79)</f>
        <v>0</v>
      </c>
      <c r="P79" s="5" t="e">
        <f>+O79/$O$91</f>
        <v>#DIV/0!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">
      <c r="A80" s="12"/>
      <c r="B80" s="62" t="s">
        <v>34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>
        <f>SUM(C80:N80)</f>
        <v>0</v>
      </c>
      <c r="P80" s="5" t="e">
        <f>+O80/$O$92</f>
        <v>#DIV/0!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">
      <c r="A81" s="12"/>
      <c r="B81" s="36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4"/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66" t="s">
        <v>28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4"/>
      <c r="P82" s="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>
      <c r="A83" s="12"/>
      <c r="B83" s="67" t="s">
        <v>33</v>
      </c>
      <c r="C83" s="68">
        <f aca="true" t="shared" si="9" ref="C83:N84">+C67+C71+C75+C79</f>
        <v>0</v>
      </c>
      <c r="D83" s="69">
        <f t="shared" si="9"/>
        <v>0</v>
      </c>
      <c r="E83" s="69">
        <f t="shared" si="9"/>
        <v>0</v>
      </c>
      <c r="F83" s="69">
        <f t="shared" si="9"/>
        <v>0</v>
      </c>
      <c r="G83" s="69">
        <f t="shared" si="9"/>
        <v>0</v>
      </c>
      <c r="H83" s="69">
        <f t="shared" si="9"/>
        <v>0</v>
      </c>
      <c r="I83" s="69">
        <f t="shared" si="9"/>
        <v>0</v>
      </c>
      <c r="J83" s="69">
        <f t="shared" si="9"/>
        <v>0</v>
      </c>
      <c r="K83" s="69">
        <f t="shared" si="9"/>
        <v>0</v>
      </c>
      <c r="L83" s="69">
        <f t="shared" si="9"/>
        <v>0</v>
      </c>
      <c r="M83" s="69">
        <f t="shared" si="9"/>
        <v>0</v>
      </c>
      <c r="N83" s="69">
        <f t="shared" si="9"/>
        <v>0</v>
      </c>
      <c r="O83" s="70">
        <f>SUM(C83:N83)</f>
        <v>0</v>
      </c>
      <c r="P83" s="71" t="e">
        <f>+P67+P71+P75+P79</f>
        <v>#DIV/0!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>
      <c r="A84" s="12"/>
      <c r="B84" s="43" t="s">
        <v>34</v>
      </c>
      <c r="C84" s="68">
        <f t="shared" si="9"/>
        <v>0</v>
      </c>
      <c r="D84" s="69">
        <f t="shared" si="9"/>
        <v>0</v>
      </c>
      <c r="E84" s="69">
        <f t="shared" si="9"/>
        <v>0</v>
      </c>
      <c r="F84" s="69">
        <f t="shared" si="9"/>
        <v>0</v>
      </c>
      <c r="G84" s="69">
        <f t="shared" si="9"/>
        <v>0</v>
      </c>
      <c r="H84" s="69">
        <f t="shared" si="9"/>
        <v>0</v>
      </c>
      <c r="I84" s="69">
        <f t="shared" si="9"/>
        <v>0</v>
      </c>
      <c r="J84" s="69">
        <f t="shared" si="9"/>
        <v>0</v>
      </c>
      <c r="K84" s="69">
        <f t="shared" si="9"/>
        <v>0</v>
      </c>
      <c r="L84" s="69">
        <f t="shared" si="9"/>
        <v>0</v>
      </c>
      <c r="M84" s="69">
        <f t="shared" si="9"/>
        <v>0</v>
      </c>
      <c r="N84" s="69">
        <f t="shared" si="9"/>
        <v>0</v>
      </c>
      <c r="O84" s="70">
        <f>SUM(C84:N84)</f>
        <v>0</v>
      </c>
      <c r="P84" s="71" t="e">
        <f>+P68+P72+P76+P80</f>
        <v>#DIV/0!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.75">
      <c r="A85" s="12"/>
      <c r="B85" s="74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8"/>
      <c r="P85" s="79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5">
      <c r="A86" s="12"/>
      <c r="B86" s="65" t="s">
        <v>27</v>
      </c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4"/>
      <c r="P86" s="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5">
      <c r="A87" s="12"/>
      <c r="B87" s="36" t="s">
        <v>33</v>
      </c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4">
        <f>SUM(C87:N87)</f>
        <v>0</v>
      </c>
      <c r="P87" s="5" t="e">
        <f>+O87/$O$91</f>
        <v>#DIV/0!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5">
      <c r="A88" s="12"/>
      <c r="B88" s="62" t="s">
        <v>34</v>
      </c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4">
        <f>SUM(C88:N88)</f>
        <v>0</v>
      </c>
      <c r="P88" s="5" t="e">
        <f>+O88/$O$92</f>
        <v>#DIV/0!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5">
      <c r="A89" s="12"/>
      <c r="B89" s="6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4"/>
      <c r="P89" s="5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5.75">
      <c r="A90" s="12"/>
      <c r="B90" s="43" t="s">
        <v>45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4"/>
      <c r="P90" s="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5.75">
      <c r="A91" s="12"/>
      <c r="B91" s="67" t="s">
        <v>33</v>
      </c>
      <c r="C91" s="68">
        <f aca="true" t="shared" si="10" ref="C91:P92">+C83+C87</f>
        <v>0</v>
      </c>
      <c r="D91" s="69">
        <f t="shared" si="10"/>
        <v>0</v>
      </c>
      <c r="E91" s="69">
        <f t="shared" si="10"/>
        <v>0</v>
      </c>
      <c r="F91" s="69">
        <f t="shared" si="10"/>
        <v>0</v>
      </c>
      <c r="G91" s="69">
        <f t="shared" si="10"/>
        <v>0</v>
      </c>
      <c r="H91" s="69">
        <f t="shared" si="10"/>
        <v>0</v>
      </c>
      <c r="I91" s="69">
        <f t="shared" si="10"/>
        <v>0</v>
      </c>
      <c r="J91" s="69">
        <f t="shared" si="10"/>
        <v>0</v>
      </c>
      <c r="K91" s="69">
        <f t="shared" si="10"/>
        <v>0</v>
      </c>
      <c r="L91" s="69">
        <f t="shared" si="10"/>
        <v>0</v>
      </c>
      <c r="M91" s="69">
        <f t="shared" si="10"/>
        <v>0</v>
      </c>
      <c r="N91" s="69">
        <f t="shared" si="10"/>
        <v>0</v>
      </c>
      <c r="O91" s="68">
        <f t="shared" si="10"/>
        <v>0</v>
      </c>
      <c r="P91" s="71" t="e">
        <f t="shared" si="10"/>
        <v>#DIV/0!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5.75">
      <c r="A92" s="12"/>
      <c r="B92" s="43" t="s">
        <v>34</v>
      </c>
      <c r="C92" s="68">
        <f t="shared" si="10"/>
        <v>0</v>
      </c>
      <c r="D92" s="69">
        <f t="shared" si="10"/>
        <v>0</v>
      </c>
      <c r="E92" s="69">
        <f t="shared" si="10"/>
        <v>0</v>
      </c>
      <c r="F92" s="69">
        <f t="shared" si="10"/>
        <v>0</v>
      </c>
      <c r="G92" s="69">
        <f t="shared" si="10"/>
        <v>0</v>
      </c>
      <c r="H92" s="69">
        <f t="shared" si="10"/>
        <v>0</v>
      </c>
      <c r="I92" s="69">
        <f t="shared" si="10"/>
        <v>0</v>
      </c>
      <c r="J92" s="69">
        <f t="shared" si="10"/>
        <v>0</v>
      </c>
      <c r="K92" s="69">
        <f t="shared" si="10"/>
        <v>0</v>
      </c>
      <c r="L92" s="69">
        <f t="shared" si="10"/>
        <v>0</v>
      </c>
      <c r="M92" s="69">
        <f t="shared" si="10"/>
        <v>0</v>
      </c>
      <c r="N92" s="69">
        <f t="shared" si="10"/>
        <v>0</v>
      </c>
      <c r="O92" s="68">
        <f t="shared" si="10"/>
        <v>0</v>
      </c>
      <c r="P92" s="71" t="e">
        <f t="shared" si="10"/>
        <v>#DIV/0!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5.75" thickBot="1">
      <c r="A93" s="12"/>
      <c r="B93" s="30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21"/>
      <c r="P93" s="2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5.75" thickTop="1">
      <c r="A94" s="12"/>
      <c r="B94" s="1" t="s">
        <v>40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5">
      <c r="A95" s="15" t="s">
        <v>30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5" t="s">
        <v>30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95"/>
  <sheetViews>
    <sheetView zoomScale="50" zoomScaleNormal="50" zoomScalePageLayoutView="0" workbookViewId="0" topLeftCell="A1">
      <selection activeCell="A1" sqref="A1"/>
    </sheetView>
  </sheetViews>
  <sheetFormatPr defaultColWidth="11.5546875" defaultRowHeight="15"/>
  <cols>
    <col min="1" max="1" width="2.4453125" style="0" customWidth="1"/>
    <col min="2" max="2" width="12.21484375" style="0" customWidth="1"/>
    <col min="3" max="3" width="9.88671875" style="0" customWidth="1"/>
    <col min="4" max="4" width="8.4453125" style="0" customWidth="1"/>
    <col min="5" max="5" width="7.4453125" style="0" customWidth="1"/>
    <col min="6" max="6" width="8.10546875" style="0" customWidth="1"/>
    <col min="7" max="7" width="6.6640625" style="0" customWidth="1"/>
    <col min="8" max="8" width="7.77734375" style="0" customWidth="1"/>
    <col min="9" max="9" width="7.6640625" style="0" bestFit="1" customWidth="1"/>
    <col min="10" max="10" width="7.6640625" style="0" customWidth="1"/>
    <col min="11" max="11" width="8.6640625" style="0" customWidth="1"/>
    <col min="12" max="12" width="7.6640625" style="0" customWidth="1"/>
    <col min="13" max="13" width="9.10546875" style="0" customWidth="1"/>
    <col min="14" max="14" width="10.214843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88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2000</v>
      </c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230269</v>
      </c>
      <c r="D6" s="111">
        <v>169762</v>
      </c>
      <c r="E6" s="111">
        <v>183776</v>
      </c>
      <c r="F6" s="111">
        <v>190424</v>
      </c>
      <c r="G6" s="111">
        <v>175607</v>
      </c>
      <c r="H6" s="111">
        <v>131015</v>
      </c>
      <c r="I6" s="111">
        <v>99701</v>
      </c>
      <c r="J6" s="111">
        <v>74767</v>
      </c>
      <c r="K6" s="111">
        <v>86227</v>
      </c>
      <c r="L6" s="111">
        <v>144767</v>
      </c>
      <c r="M6" s="111">
        <v>122873</v>
      </c>
      <c r="N6" s="111">
        <v>141043</v>
      </c>
      <c r="O6" s="133">
        <f aca="true" t="shared" si="0" ref="O6:O14">SUM(C6:N6)</f>
        <v>1750231</v>
      </c>
      <c r="P6" s="134">
        <f aca="true" t="shared" si="1" ref="P6:P15">+O6/$O$19</f>
        <v>0.11303829603373522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128745</v>
      </c>
      <c r="D7" s="111">
        <v>125339</v>
      </c>
      <c r="E7" s="111">
        <v>140823</v>
      </c>
      <c r="F7" s="111">
        <v>108783</v>
      </c>
      <c r="G7" s="111">
        <v>121829</v>
      </c>
      <c r="H7" s="111">
        <v>115515</v>
      </c>
      <c r="I7" s="111">
        <v>74375</v>
      </c>
      <c r="J7" s="111">
        <v>41046</v>
      </c>
      <c r="K7" s="111">
        <v>57810</v>
      </c>
      <c r="L7" s="111">
        <v>104575</v>
      </c>
      <c r="M7" s="111">
        <v>101817</v>
      </c>
      <c r="N7" s="111">
        <v>84344</v>
      </c>
      <c r="O7" s="133">
        <f t="shared" si="0"/>
        <v>1205001</v>
      </c>
      <c r="P7" s="134">
        <f t="shared" si="1"/>
        <v>0.07782473271182316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187647</v>
      </c>
      <c r="D8" s="111">
        <v>111983</v>
      </c>
      <c r="E8" s="111">
        <v>136695</v>
      </c>
      <c r="F8" s="111">
        <v>161538</v>
      </c>
      <c r="G8" s="111">
        <v>153817</v>
      </c>
      <c r="H8" s="111">
        <v>125570</v>
      </c>
      <c r="I8" s="111">
        <v>94318</v>
      </c>
      <c r="J8" s="111">
        <v>57728</v>
      </c>
      <c r="K8" s="111">
        <v>81563</v>
      </c>
      <c r="L8" s="111">
        <v>119801</v>
      </c>
      <c r="M8" s="111">
        <v>114438</v>
      </c>
      <c r="N8" s="111">
        <v>90556</v>
      </c>
      <c r="O8" s="133">
        <f t="shared" si="0"/>
        <v>1435654</v>
      </c>
      <c r="P8" s="134">
        <f t="shared" si="1"/>
        <v>0.09272140754792715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145478</v>
      </c>
      <c r="D9" s="111">
        <v>128392</v>
      </c>
      <c r="E9" s="111">
        <v>128968</v>
      </c>
      <c r="F9" s="111">
        <v>155762</v>
      </c>
      <c r="G9" s="111">
        <v>148774</v>
      </c>
      <c r="H9" s="111">
        <v>125706</v>
      </c>
      <c r="I9" s="111">
        <v>74510</v>
      </c>
      <c r="J9" s="111">
        <v>39469</v>
      </c>
      <c r="K9" s="111">
        <v>88058</v>
      </c>
      <c r="L9" s="111">
        <v>132877</v>
      </c>
      <c r="M9" s="111">
        <v>122095</v>
      </c>
      <c r="N9" s="111">
        <v>111729</v>
      </c>
      <c r="O9" s="133">
        <f t="shared" si="0"/>
        <v>1401818</v>
      </c>
      <c r="P9" s="134">
        <f t="shared" si="1"/>
        <v>0.09053611670083471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215446</v>
      </c>
      <c r="D10" s="111">
        <v>190200</v>
      </c>
      <c r="E10" s="111">
        <v>173983</v>
      </c>
      <c r="F10" s="111">
        <v>216343</v>
      </c>
      <c r="G10" s="111">
        <v>240595</v>
      </c>
      <c r="H10" s="111">
        <v>174744</v>
      </c>
      <c r="I10" s="111">
        <v>113078</v>
      </c>
      <c r="J10" s="111">
        <v>47384</v>
      </c>
      <c r="K10" s="111">
        <v>103013</v>
      </c>
      <c r="L10" s="111">
        <v>233450</v>
      </c>
      <c r="M10" s="111">
        <v>152461</v>
      </c>
      <c r="N10" s="111">
        <v>260962</v>
      </c>
      <c r="O10" s="133">
        <f t="shared" si="0"/>
        <v>2121659</v>
      </c>
      <c r="P10" s="134">
        <f t="shared" si="1"/>
        <v>0.1370268942354687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94045</v>
      </c>
      <c r="D11" s="111">
        <v>41155</v>
      </c>
      <c r="E11" s="111">
        <v>56628</v>
      </c>
      <c r="F11" s="111">
        <v>66355</v>
      </c>
      <c r="G11" s="111">
        <v>54548</v>
      </c>
      <c r="H11" s="111">
        <v>55159</v>
      </c>
      <c r="I11" s="111">
        <v>20309</v>
      </c>
      <c r="J11" s="111">
        <v>11353</v>
      </c>
      <c r="K11" s="111">
        <v>42745</v>
      </c>
      <c r="L11" s="111">
        <v>66356</v>
      </c>
      <c r="M11" s="111">
        <v>47001</v>
      </c>
      <c r="N11" s="111">
        <v>53652</v>
      </c>
      <c r="O11" s="133">
        <f t="shared" si="0"/>
        <v>609306</v>
      </c>
      <c r="P11" s="134">
        <f t="shared" si="1"/>
        <v>0.03935189812266556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107392</v>
      </c>
      <c r="D12" s="111">
        <v>105649</v>
      </c>
      <c r="E12" s="111">
        <v>105237</v>
      </c>
      <c r="F12" s="111">
        <v>110054</v>
      </c>
      <c r="G12" s="111">
        <v>112228</v>
      </c>
      <c r="H12" s="111">
        <v>91397</v>
      </c>
      <c r="I12" s="111">
        <v>85647</v>
      </c>
      <c r="J12" s="111">
        <v>70102</v>
      </c>
      <c r="K12" s="111">
        <v>71092</v>
      </c>
      <c r="L12" s="111">
        <v>113010</v>
      </c>
      <c r="M12" s="111">
        <v>96453</v>
      </c>
      <c r="N12" s="111">
        <v>111501</v>
      </c>
      <c r="O12" s="133">
        <f t="shared" si="0"/>
        <v>1179762</v>
      </c>
      <c r="P12" s="134">
        <f t="shared" si="1"/>
        <v>0.07619467727708601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199154</v>
      </c>
      <c r="D13" s="111">
        <v>110223</v>
      </c>
      <c r="E13" s="111">
        <v>123476</v>
      </c>
      <c r="F13" s="111">
        <v>145531</v>
      </c>
      <c r="G13" s="111">
        <v>128068</v>
      </c>
      <c r="H13" s="111">
        <v>101409</v>
      </c>
      <c r="I13" s="111">
        <v>81333</v>
      </c>
      <c r="J13" s="111">
        <v>66906</v>
      </c>
      <c r="K13" s="111">
        <v>93503</v>
      </c>
      <c r="L13" s="111">
        <v>120510</v>
      </c>
      <c r="M13" s="111">
        <v>92078</v>
      </c>
      <c r="N13" s="111">
        <v>106555</v>
      </c>
      <c r="O13" s="133">
        <f t="shared" si="0"/>
        <v>1368746</v>
      </c>
      <c r="P13" s="134">
        <f t="shared" si="1"/>
        <v>0.0884001686308784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243668</v>
      </c>
      <c r="D14" s="111">
        <v>198350</v>
      </c>
      <c r="E14" s="111">
        <v>190621</v>
      </c>
      <c r="F14" s="111">
        <v>206407</v>
      </c>
      <c r="G14" s="111">
        <v>200206</v>
      </c>
      <c r="H14" s="111">
        <v>157120</v>
      </c>
      <c r="I14" s="111">
        <v>94134</v>
      </c>
      <c r="J14" s="111">
        <v>43504</v>
      </c>
      <c r="K14" s="111">
        <v>62366</v>
      </c>
      <c r="L14" s="111">
        <v>192227</v>
      </c>
      <c r="M14" s="111">
        <v>131732</v>
      </c>
      <c r="N14" s="111">
        <v>166961.5</v>
      </c>
      <c r="O14" s="133">
        <f t="shared" si="0"/>
        <v>1887296.5</v>
      </c>
      <c r="P14" s="134">
        <f t="shared" si="1"/>
        <v>0.12189064213262842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O15">SUM(C6:C14)</f>
        <v>1551844</v>
      </c>
      <c r="D15" s="114">
        <f t="shared" si="2"/>
        <v>1181053</v>
      </c>
      <c r="E15" s="114">
        <f t="shared" si="2"/>
        <v>1240207</v>
      </c>
      <c r="F15" s="114">
        <f t="shared" si="2"/>
        <v>1361197</v>
      </c>
      <c r="G15" s="114">
        <f t="shared" si="2"/>
        <v>1335672</v>
      </c>
      <c r="H15" s="114">
        <f t="shared" si="2"/>
        <v>1077635</v>
      </c>
      <c r="I15" s="114">
        <f t="shared" si="2"/>
        <v>737405</v>
      </c>
      <c r="J15" s="114">
        <f t="shared" si="2"/>
        <v>452259</v>
      </c>
      <c r="K15" s="114">
        <f t="shared" si="2"/>
        <v>686377</v>
      </c>
      <c r="L15" s="114">
        <f t="shared" si="2"/>
        <v>1227573</v>
      </c>
      <c r="M15" s="114">
        <f t="shared" si="2"/>
        <v>980948</v>
      </c>
      <c r="N15" s="114">
        <f t="shared" si="2"/>
        <v>1127303.5</v>
      </c>
      <c r="O15" s="114">
        <f t="shared" si="2"/>
        <v>12959473.5</v>
      </c>
      <c r="P15" s="138">
        <f t="shared" si="1"/>
        <v>0.8369848333930473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66" s="115" customFormat="1" ht="15">
      <c r="A16" s="136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37"/>
      <c r="P16" s="138"/>
      <c r="Q16" s="139"/>
      <c r="R16" s="118"/>
      <c r="S16" s="118"/>
      <c r="T16" s="119"/>
      <c r="U16" s="120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</row>
    <row r="17" spans="1:35" ht="15">
      <c r="A17" s="123"/>
      <c r="B17" s="108" t="s">
        <v>27</v>
      </c>
      <c r="C17" s="110">
        <v>271935</v>
      </c>
      <c r="D17" s="111">
        <v>243786</v>
      </c>
      <c r="E17" s="111">
        <v>223002</v>
      </c>
      <c r="F17" s="111">
        <v>293188</v>
      </c>
      <c r="G17" s="111">
        <v>379317</v>
      </c>
      <c r="H17" s="111">
        <v>261538</v>
      </c>
      <c r="I17" s="111">
        <v>154540</v>
      </c>
      <c r="J17" s="111">
        <v>66471</v>
      </c>
      <c r="K17" s="111">
        <v>87590</v>
      </c>
      <c r="L17" s="111">
        <v>187062</v>
      </c>
      <c r="M17" s="111">
        <v>150296</v>
      </c>
      <c r="N17" s="111">
        <v>205324</v>
      </c>
      <c r="O17" s="133">
        <f>SUM(C17:N17)</f>
        <v>2524049</v>
      </c>
      <c r="P17" s="134">
        <f>+O17/$O$19</f>
        <v>0.16301516660695264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P19">+C15+C17</f>
        <v>1823779</v>
      </c>
      <c r="D19" s="148">
        <f t="shared" si="3"/>
        <v>1424839</v>
      </c>
      <c r="E19" s="148">
        <f t="shared" si="3"/>
        <v>1463209</v>
      </c>
      <c r="F19" s="148">
        <f t="shared" si="3"/>
        <v>1654385</v>
      </c>
      <c r="G19" s="148">
        <f t="shared" si="3"/>
        <v>1714989</v>
      </c>
      <c r="H19" s="148">
        <f t="shared" si="3"/>
        <v>1339173</v>
      </c>
      <c r="I19" s="148">
        <f t="shared" si="3"/>
        <v>891945</v>
      </c>
      <c r="J19" s="148">
        <f t="shared" si="3"/>
        <v>518730</v>
      </c>
      <c r="K19" s="148">
        <f t="shared" si="3"/>
        <v>773967</v>
      </c>
      <c r="L19" s="148">
        <f t="shared" si="3"/>
        <v>1414635</v>
      </c>
      <c r="M19" s="148">
        <f t="shared" si="3"/>
        <v>1131244</v>
      </c>
      <c r="N19" s="148">
        <f t="shared" si="3"/>
        <v>1332627.5</v>
      </c>
      <c r="O19" s="147">
        <f t="shared" si="3"/>
        <v>15483522.5</v>
      </c>
      <c r="P19" s="149">
        <f t="shared" si="3"/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51">
        <f>C19</f>
        <v>1823779</v>
      </c>
      <c r="D20" s="151">
        <f aca="true" t="shared" si="4" ref="D20:N20">C20+D19</f>
        <v>3248618</v>
      </c>
      <c r="E20" s="151">
        <f t="shared" si="4"/>
        <v>4711827</v>
      </c>
      <c r="F20" s="151">
        <f t="shared" si="4"/>
        <v>6366212</v>
      </c>
      <c r="G20" s="151">
        <f t="shared" si="4"/>
        <v>8081201</v>
      </c>
      <c r="H20" s="151">
        <f t="shared" si="4"/>
        <v>9420374</v>
      </c>
      <c r="I20" s="151">
        <f t="shared" si="4"/>
        <v>10312319</v>
      </c>
      <c r="J20" s="151">
        <f t="shared" si="4"/>
        <v>10831049</v>
      </c>
      <c r="K20" s="151">
        <f t="shared" si="4"/>
        <v>11605016</v>
      </c>
      <c r="L20" s="151">
        <f t="shared" si="4"/>
        <v>13019651</v>
      </c>
      <c r="M20" s="151">
        <f t="shared" si="4"/>
        <v>14150895</v>
      </c>
      <c r="N20" s="151">
        <f t="shared" si="4"/>
        <v>15483522.5</v>
      </c>
      <c r="O20" s="151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89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2000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/>
      <c r="P30" s="134"/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1054972</v>
      </c>
      <c r="D31" s="111">
        <v>769788</v>
      </c>
      <c r="E31" s="111">
        <v>839962</v>
      </c>
      <c r="F31" s="111">
        <v>906029</v>
      </c>
      <c r="G31" s="111">
        <v>818606</v>
      </c>
      <c r="H31" s="111">
        <v>575782</v>
      </c>
      <c r="I31" s="111">
        <v>408777</v>
      </c>
      <c r="J31" s="111">
        <v>292039</v>
      </c>
      <c r="K31" s="111">
        <v>370083</v>
      </c>
      <c r="L31" s="111">
        <v>664289</v>
      </c>
      <c r="M31" s="111">
        <v>605380</v>
      </c>
      <c r="N31" s="111">
        <v>641792</v>
      </c>
      <c r="O31" s="133">
        <f aca="true" t="shared" si="5" ref="O31:O39">SUM(C31:N31)</f>
        <v>7947499</v>
      </c>
      <c r="P31" s="134">
        <f aca="true" t="shared" si="6" ref="P31:P40">+O31/$O$45</f>
        <v>0.11812132157376412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548111</v>
      </c>
      <c r="D32" s="111">
        <v>535501</v>
      </c>
      <c r="E32" s="111">
        <v>598713</v>
      </c>
      <c r="F32" s="111">
        <v>469297</v>
      </c>
      <c r="G32" s="111">
        <v>523611</v>
      </c>
      <c r="H32" s="111">
        <v>477956</v>
      </c>
      <c r="I32" s="111">
        <v>286181</v>
      </c>
      <c r="J32" s="111">
        <v>158610</v>
      </c>
      <c r="K32" s="111">
        <v>229782</v>
      </c>
      <c r="L32" s="111">
        <v>431016</v>
      </c>
      <c r="M32" s="111">
        <v>427906</v>
      </c>
      <c r="N32" s="111">
        <v>365005</v>
      </c>
      <c r="O32" s="133">
        <f t="shared" si="5"/>
        <v>5051689</v>
      </c>
      <c r="P32" s="134">
        <f t="shared" si="6"/>
        <v>0.07508175601653387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793362</v>
      </c>
      <c r="D33" s="111">
        <v>473749</v>
      </c>
      <c r="E33" s="111">
        <v>577267</v>
      </c>
      <c r="F33" s="111">
        <v>696469</v>
      </c>
      <c r="G33" s="111">
        <v>682333</v>
      </c>
      <c r="H33" s="111">
        <v>519970</v>
      </c>
      <c r="I33" s="111">
        <v>365578</v>
      </c>
      <c r="J33" s="111">
        <v>219925</v>
      </c>
      <c r="K33" s="111">
        <v>325002</v>
      </c>
      <c r="L33" s="111">
        <v>479593</v>
      </c>
      <c r="M33" s="111">
        <v>435471</v>
      </c>
      <c r="N33" s="111">
        <v>375082</v>
      </c>
      <c r="O33" s="133">
        <f t="shared" si="5"/>
        <v>5943801</v>
      </c>
      <c r="P33" s="134">
        <f t="shared" si="6"/>
        <v>0.08834095220288304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f>411199+253184</f>
        <v>664383</v>
      </c>
      <c r="D34" s="111">
        <f>228873+344116</f>
        <v>572989</v>
      </c>
      <c r="E34" s="111">
        <f>416865+150001</f>
        <v>566866</v>
      </c>
      <c r="F34" s="111">
        <f>239066+489344</f>
        <v>728410</v>
      </c>
      <c r="G34" s="111">
        <f>429275+264010</f>
        <v>693285</v>
      </c>
      <c r="H34" s="111">
        <f>354980+207693</f>
        <v>562673</v>
      </c>
      <c r="I34" s="111">
        <f>199004+107995</f>
        <v>306999</v>
      </c>
      <c r="J34" s="111">
        <f>89874+67117</f>
        <v>156991</v>
      </c>
      <c r="K34" s="111">
        <f>158492+211352</f>
        <v>369844</v>
      </c>
      <c r="L34" s="111">
        <f>297781+267475</f>
        <v>565256</v>
      </c>
      <c r="M34" s="111">
        <f>231721+305498</f>
        <v>537219</v>
      </c>
      <c r="N34" s="111">
        <f>339798+145268</f>
        <v>485066</v>
      </c>
      <c r="O34" s="133">
        <f t="shared" si="5"/>
        <v>6209981</v>
      </c>
      <c r="P34" s="134">
        <f t="shared" si="6"/>
        <v>0.09229710663291248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967105</v>
      </c>
      <c r="D35" s="111">
        <v>800711</v>
      </c>
      <c r="E35" s="111">
        <v>745565</v>
      </c>
      <c r="F35" s="111">
        <v>970736</v>
      </c>
      <c r="G35" s="111">
        <v>1075323</v>
      </c>
      <c r="H35" s="111">
        <v>749568</v>
      </c>
      <c r="I35" s="111">
        <v>452716</v>
      </c>
      <c r="J35" s="111">
        <v>196508</v>
      </c>
      <c r="K35" s="111">
        <v>448644</v>
      </c>
      <c r="L35" s="111">
        <v>1032384</v>
      </c>
      <c r="M35" s="111">
        <v>694924</v>
      </c>
      <c r="N35" s="111">
        <v>1151898</v>
      </c>
      <c r="O35" s="133">
        <f t="shared" si="5"/>
        <v>9286082</v>
      </c>
      <c r="P35" s="134">
        <f t="shared" si="6"/>
        <v>0.13801628387525972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411088</v>
      </c>
      <c r="D36" s="111">
        <v>176065</v>
      </c>
      <c r="E36" s="111">
        <v>241519</v>
      </c>
      <c r="F36" s="111">
        <v>287282</v>
      </c>
      <c r="G36" s="111">
        <v>246605</v>
      </c>
      <c r="H36" s="111">
        <v>247071</v>
      </c>
      <c r="I36" s="111">
        <v>124176</v>
      </c>
      <c r="J36" s="111">
        <v>94021</v>
      </c>
      <c r="K36" s="111">
        <v>174024</v>
      </c>
      <c r="L36" s="111">
        <v>272918</v>
      </c>
      <c r="M36" s="111">
        <v>199972</v>
      </c>
      <c r="N36" s="111">
        <v>225282</v>
      </c>
      <c r="O36" s="133">
        <f t="shared" si="5"/>
        <v>2700023</v>
      </c>
      <c r="P36" s="134">
        <f t="shared" si="6"/>
        <v>0.04012964141795542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478729</v>
      </c>
      <c r="D37" s="111">
        <v>453815</v>
      </c>
      <c r="E37" s="111">
        <v>473570</v>
      </c>
      <c r="F37" s="111">
        <v>497296</v>
      </c>
      <c r="G37" s="111">
        <v>503424</v>
      </c>
      <c r="H37" s="111">
        <v>397544</v>
      </c>
      <c r="I37" s="111">
        <v>339460</v>
      </c>
      <c r="J37" s="111">
        <v>255795</v>
      </c>
      <c r="K37" s="111">
        <v>318506</v>
      </c>
      <c r="L37" s="111">
        <v>507309</v>
      </c>
      <c r="M37" s="111">
        <v>433876</v>
      </c>
      <c r="N37" s="111">
        <v>480596</v>
      </c>
      <c r="O37" s="133">
        <f t="shared" si="5"/>
        <v>5139920</v>
      </c>
      <c r="P37" s="134">
        <f t="shared" si="6"/>
        <v>0.07639310721315243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907945</v>
      </c>
      <c r="D38" s="111">
        <v>491240</v>
      </c>
      <c r="E38" s="111">
        <v>545695</v>
      </c>
      <c r="F38" s="111">
        <v>673871</v>
      </c>
      <c r="G38" s="111">
        <v>594235</v>
      </c>
      <c r="H38" s="111">
        <v>450388</v>
      </c>
      <c r="I38" s="111">
        <v>328485</v>
      </c>
      <c r="J38" s="111">
        <v>279360</v>
      </c>
      <c r="K38" s="111">
        <v>395735</v>
      </c>
      <c r="L38" s="111">
        <v>508100</v>
      </c>
      <c r="M38" s="111">
        <v>395130</v>
      </c>
      <c r="N38" s="111">
        <v>456955</v>
      </c>
      <c r="O38" s="133">
        <f t="shared" si="5"/>
        <v>6027139</v>
      </c>
      <c r="P38" s="134">
        <f t="shared" si="6"/>
        <v>0.08957958019104817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1048931</v>
      </c>
      <c r="D39" s="111">
        <v>863977</v>
      </c>
      <c r="E39" s="111">
        <v>833160</v>
      </c>
      <c r="F39" s="111">
        <v>958141</v>
      </c>
      <c r="G39" s="111">
        <v>891901</v>
      </c>
      <c r="H39" s="111">
        <v>680724</v>
      </c>
      <c r="I39" s="111">
        <v>388787</v>
      </c>
      <c r="J39" s="111">
        <v>175634</v>
      </c>
      <c r="K39" s="111">
        <v>264952</v>
      </c>
      <c r="L39" s="111">
        <v>800788</v>
      </c>
      <c r="M39" s="111">
        <v>638167</v>
      </c>
      <c r="N39" s="111">
        <v>759169</v>
      </c>
      <c r="O39" s="133">
        <f t="shared" si="5"/>
        <v>8304331</v>
      </c>
      <c r="P39" s="134">
        <f t="shared" si="6"/>
        <v>0.1234248098056984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6874626</v>
      </c>
      <c r="D40" s="164">
        <f t="shared" si="7"/>
        <v>5137835</v>
      </c>
      <c r="E40" s="164">
        <f t="shared" si="7"/>
        <v>5422317</v>
      </c>
      <c r="F40" s="164">
        <f t="shared" si="7"/>
        <v>6187531</v>
      </c>
      <c r="G40" s="164">
        <f t="shared" si="7"/>
        <v>6029323</v>
      </c>
      <c r="H40" s="164">
        <f t="shared" si="7"/>
        <v>4661676</v>
      </c>
      <c r="I40" s="164">
        <f t="shared" si="7"/>
        <v>3001159</v>
      </c>
      <c r="J40" s="164">
        <f t="shared" si="7"/>
        <v>1828883</v>
      </c>
      <c r="K40" s="164">
        <f t="shared" si="7"/>
        <v>2896572</v>
      </c>
      <c r="L40" s="164">
        <f t="shared" si="7"/>
        <v>5261653</v>
      </c>
      <c r="M40" s="164">
        <f t="shared" si="7"/>
        <v>4368045</v>
      </c>
      <c r="N40" s="164">
        <f t="shared" si="7"/>
        <v>4940845</v>
      </c>
      <c r="O40" s="133">
        <f t="shared" si="7"/>
        <v>56610465</v>
      </c>
      <c r="P40" s="134">
        <f t="shared" si="6"/>
        <v>0.8413845589292076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260590</v>
      </c>
      <c r="D42" s="111">
        <v>183396</v>
      </c>
      <c r="E42" s="111">
        <v>188786</v>
      </c>
      <c r="F42" s="111">
        <v>264560</v>
      </c>
      <c r="G42" s="111">
        <v>402312</v>
      </c>
      <c r="H42" s="111">
        <v>263541</v>
      </c>
      <c r="I42" s="111">
        <v>148176</v>
      </c>
      <c r="J42" s="110">
        <v>57066</v>
      </c>
      <c r="K42" s="111">
        <v>82441</v>
      </c>
      <c r="L42" s="111">
        <v>239320</v>
      </c>
      <c r="M42" s="111">
        <v>180450</v>
      </c>
      <c r="N42" s="111">
        <v>206677</v>
      </c>
      <c r="O42" s="133">
        <f>SUM(C42:N42)</f>
        <v>2477315</v>
      </c>
      <c r="P42" s="134">
        <f>+O42/$O$45</f>
        <v>0.03681959843650304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937325</v>
      </c>
      <c r="D43" s="111">
        <v>829233</v>
      </c>
      <c r="E43" s="111">
        <v>755602</v>
      </c>
      <c r="F43" s="111">
        <v>1033392</v>
      </c>
      <c r="G43" s="111">
        <v>1279020</v>
      </c>
      <c r="H43" s="111">
        <v>871578</v>
      </c>
      <c r="I43" s="111">
        <v>448503</v>
      </c>
      <c r="J43" s="110">
        <v>194143</v>
      </c>
      <c r="K43" s="111">
        <v>262930</v>
      </c>
      <c r="L43" s="111">
        <v>518706</v>
      </c>
      <c r="M43" s="111">
        <v>431543</v>
      </c>
      <c r="N43" s="111">
        <v>632755</v>
      </c>
      <c r="O43" s="133">
        <f>SUM(C43:N43)</f>
        <v>8194730</v>
      </c>
      <c r="P43" s="134">
        <f>+O43/$O$45</f>
        <v>0.12179584263428936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 aca="true" t="shared" si="8" ref="C45:P45">+C40+C42+C43</f>
        <v>8072541</v>
      </c>
      <c r="D45" s="148">
        <f t="shared" si="8"/>
        <v>6150464</v>
      </c>
      <c r="E45" s="148">
        <f t="shared" si="8"/>
        <v>6366705</v>
      </c>
      <c r="F45" s="148">
        <f t="shared" si="8"/>
        <v>7485483</v>
      </c>
      <c r="G45" s="148">
        <f t="shared" si="8"/>
        <v>7710655</v>
      </c>
      <c r="H45" s="148">
        <f t="shared" si="8"/>
        <v>5796795</v>
      </c>
      <c r="I45" s="148">
        <f t="shared" si="8"/>
        <v>3597838</v>
      </c>
      <c r="J45" s="148">
        <f t="shared" si="8"/>
        <v>2080092</v>
      </c>
      <c r="K45" s="148">
        <f t="shared" si="8"/>
        <v>3241943</v>
      </c>
      <c r="L45" s="148">
        <f t="shared" si="8"/>
        <v>6019679</v>
      </c>
      <c r="M45" s="148">
        <f t="shared" si="8"/>
        <v>4980038</v>
      </c>
      <c r="N45" s="148">
        <f t="shared" si="8"/>
        <v>5780277</v>
      </c>
      <c r="O45" s="147">
        <f>+O40+O42+O43</f>
        <v>67282510</v>
      </c>
      <c r="P45" s="149">
        <f t="shared" si="8"/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3"/>
      <c r="B48" s="121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1" t="s">
        <v>90</v>
      </c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1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">
      <c r="A51" s="123"/>
      <c r="B51" s="121"/>
      <c r="C51" s="195" t="s">
        <v>91</v>
      </c>
      <c r="D51" s="123" t="s">
        <v>92</v>
      </c>
      <c r="E51" s="123" t="s">
        <v>83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3"/>
      <c r="B52" s="121" t="s">
        <v>93</v>
      </c>
      <c r="C52" s="122">
        <v>1.68</v>
      </c>
      <c r="D52" s="123">
        <v>1.54</v>
      </c>
      <c r="E52" s="123">
        <v>1.56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5">
      <c r="A53" s="122" t="s">
        <v>30</v>
      </c>
      <c r="B53" s="123" t="s">
        <v>94</v>
      </c>
      <c r="C53" s="123">
        <v>511.2168</v>
      </c>
      <c r="D53" s="123">
        <v>512.4781</v>
      </c>
      <c r="E53" s="123">
        <v>315.4365</v>
      </c>
      <c r="F53" s="123">
        <v>519.8001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2" t="s">
        <v>30</v>
      </c>
      <c r="Q53" s="12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5">
      <c r="A54" s="123"/>
      <c r="B54" s="123" t="s">
        <v>96</v>
      </c>
      <c r="C54" s="123">
        <f>C52*C53</f>
        <v>858.8442239999999</v>
      </c>
      <c r="D54" s="123">
        <f>D52*D53</f>
        <v>789.2162740000001</v>
      </c>
      <c r="E54" s="123">
        <f>E52*E53</f>
        <v>492.08094000000006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3"/>
      <c r="B56" s="123" t="s">
        <v>95</v>
      </c>
      <c r="C56" s="123">
        <f>(C54*C19)/1000000</f>
        <v>1566.342060002496</v>
      </c>
      <c r="D56" s="123">
        <f>(D54*D19)/1000000</f>
        <v>1124.5061266298862</v>
      </c>
      <c r="E56" s="123">
        <f>(E54*E19)/1000000</f>
        <v>720.0172601364601</v>
      </c>
      <c r="F56" s="123">
        <v>3410.8654467688425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3"/>
      <c r="B57" s="123"/>
      <c r="C57" s="123">
        <f>C56:E56</f>
        <v>1566.342060002496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.75">
      <c r="A61" s="12" t="s">
        <v>46</v>
      </c>
      <c r="B61" s="12"/>
      <c r="C61" s="16" t="s">
        <v>47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2"/>
      <c r="P61" s="55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12"/>
      <c r="C62" s="24" t="s">
        <v>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6.5" thickBot="1">
      <c r="A63" s="12"/>
      <c r="B63" s="26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1998</v>
      </c>
      <c r="P63" s="26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6.5" thickBot="1" thickTop="1">
      <c r="A64" s="12"/>
      <c r="B64" s="30"/>
      <c r="C64" s="32" t="s">
        <v>3</v>
      </c>
      <c r="D64" s="33" t="s">
        <v>4</v>
      </c>
      <c r="E64" s="33" t="s">
        <v>5</v>
      </c>
      <c r="F64" s="33" t="s">
        <v>6</v>
      </c>
      <c r="G64" s="33" t="s">
        <v>7</v>
      </c>
      <c r="H64" s="33" t="s">
        <v>8</v>
      </c>
      <c r="I64" s="33" t="s">
        <v>9</v>
      </c>
      <c r="J64" s="33" t="s">
        <v>10</v>
      </c>
      <c r="K64" s="34" t="s">
        <v>11</v>
      </c>
      <c r="L64" s="33" t="s">
        <v>12</v>
      </c>
      <c r="M64" s="33" t="s">
        <v>13</v>
      </c>
      <c r="N64" s="33" t="s">
        <v>14</v>
      </c>
      <c r="O64" s="35" t="s">
        <v>15</v>
      </c>
      <c r="P64" s="17" t="s">
        <v>16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.75" thickTop="1">
      <c r="A65" s="12"/>
      <c r="B65" s="13"/>
      <c r="C65" s="6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60"/>
      <c r="P65" s="6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42</v>
      </c>
      <c r="C66" s="37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"/>
      <c r="P66" s="5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 t="s">
        <v>33</v>
      </c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>
        <f>SUM(C67:N67)</f>
        <v>0</v>
      </c>
      <c r="P67" s="5" t="e">
        <f>+O67/$O$91</f>
        <v>#DIV/0!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34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>
        <f>SUM(C68:N68)</f>
        <v>0</v>
      </c>
      <c r="P68" s="5" t="e">
        <f>+O68/$O$92</f>
        <v>#DIV/0!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/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/>
      <c r="P69" s="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36" t="s">
        <v>43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/>
      <c r="P70" s="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 t="s">
        <v>33</v>
      </c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>
        <f>SUM(C71:N71)</f>
        <v>0</v>
      </c>
      <c r="P71" s="5" t="e">
        <f>+O71/$O$91</f>
        <v>#DIV/0!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">
      <c r="A72" s="12"/>
      <c r="B72" s="62" t="s">
        <v>34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>
        <f>SUM(C72:N72)</f>
        <v>0</v>
      </c>
      <c r="P72" s="5" t="e">
        <f>+O72/$O$92</f>
        <v>#DIV/0!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">
      <c r="A73" s="12"/>
      <c r="B73" s="36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4"/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">
      <c r="A74" s="12"/>
      <c r="B74" s="62" t="s">
        <v>32</v>
      </c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4"/>
      <c r="P74" s="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">
      <c r="A75" s="12"/>
      <c r="B75" s="36" t="s">
        <v>33</v>
      </c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4">
        <f>SUM(C75:N75)</f>
        <v>0</v>
      </c>
      <c r="P75" s="5" t="e">
        <f>+O75/$O$91</f>
        <v>#DIV/0!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2" t="s">
        <v>34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>
        <f>SUM(C76:N76)</f>
        <v>0</v>
      </c>
      <c r="P76" s="5" t="e">
        <f>+O76/$O$92</f>
        <v>#DIV/0!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/>
      <c r="P77" s="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44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/>
      <c r="P78" s="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36" t="s">
        <v>33</v>
      </c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>
        <f>SUM(C79:N79)</f>
        <v>0</v>
      </c>
      <c r="P79" s="5" t="e">
        <f>+O79/$O$91</f>
        <v>#DIV/0!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">
      <c r="A80" s="12"/>
      <c r="B80" s="62" t="s">
        <v>34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>
        <f>SUM(C80:N80)</f>
        <v>0</v>
      </c>
      <c r="P80" s="5" t="e">
        <f>+O80/$O$92</f>
        <v>#DIV/0!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">
      <c r="A81" s="12"/>
      <c r="B81" s="36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4"/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66" t="s">
        <v>28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4"/>
      <c r="P82" s="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>
      <c r="A83" s="12"/>
      <c r="B83" s="67" t="s">
        <v>33</v>
      </c>
      <c r="C83" s="68">
        <f aca="true" t="shared" si="9" ref="C83:N84">+C67+C71+C75+C79</f>
        <v>0</v>
      </c>
      <c r="D83" s="69">
        <f t="shared" si="9"/>
        <v>0</v>
      </c>
      <c r="E83" s="69">
        <f t="shared" si="9"/>
        <v>0</v>
      </c>
      <c r="F83" s="69">
        <f t="shared" si="9"/>
        <v>0</v>
      </c>
      <c r="G83" s="69">
        <f t="shared" si="9"/>
        <v>0</v>
      </c>
      <c r="H83" s="69">
        <f t="shared" si="9"/>
        <v>0</v>
      </c>
      <c r="I83" s="69">
        <f t="shared" si="9"/>
        <v>0</v>
      </c>
      <c r="J83" s="69">
        <f t="shared" si="9"/>
        <v>0</v>
      </c>
      <c r="K83" s="69">
        <f t="shared" si="9"/>
        <v>0</v>
      </c>
      <c r="L83" s="69">
        <f t="shared" si="9"/>
        <v>0</v>
      </c>
      <c r="M83" s="69">
        <f t="shared" si="9"/>
        <v>0</v>
      </c>
      <c r="N83" s="69">
        <f t="shared" si="9"/>
        <v>0</v>
      </c>
      <c r="O83" s="70">
        <f>SUM(C83:N83)</f>
        <v>0</v>
      </c>
      <c r="P83" s="71" t="e">
        <f>+P67+P71+P75+P79</f>
        <v>#DIV/0!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>
      <c r="A84" s="12"/>
      <c r="B84" s="43" t="s">
        <v>34</v>
      </c>
      <c r="C84" s="68">
        <f t="shared" si="9"/>
        <v>0</v>
      </c>
      <c r="D84" s="69">
        <f t="shared" si="9"/>
        <v>0</v>
      </c>
      <c r="E84" s="69">
        <f t="shared" si="9"/>
        <v>0</v>
      </c>
      <c r="F84" s="69">
        <f t="shared" si="9"/>
        <v>0</v>
      </c>
      <c r="G84" s="69">
        <f t="shared" si="9"/>
        <v>0</v>
      </c>
      <c r="H84" s="69">
        <f t="shared" si="9"/>
        <v>0</v>
      </c>
      <c r="I84" s="69">
        <f t="shared" si="9"/>
        <v>0</v>
      </c>
      <c r="J84" s="69">
        <f t="shared" si="9"/>
        <v>0</v>
      </c>
      <c r="K84" s="69">
        <f t="shared" si="9"/>
        <v>0</v>
      </c>
      <c r="L84" s="69">
        <f t="shared" si="9"/>
        <v>0</v>
      </c>
      <c r="M84" s="69">
        <f t="shared" si="9"/>
        <v>0</v>
      </c>
      <c r="N84" s="69">
        <f t="shared" si="9"/>
        <v>0</v>
      </c>
      <c r="O84" s="70">
        <f>SUM(C84:N84)</f>
        <v>0</v>
      </c>
      <c r="P84" s="71" t="e">
        <f>+P68+P72+P76+P80</f>
        <v>#DIV/0!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.75">
      <c r="A85" s="12"/>
      <c r="B85" s="74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8"/>
      <c r="P85" s="79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5">
      <c r="A86" s="12"/>
      <c r="B86" s="65" t="s">
        <v>27</v>
      </c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4"/>
      <c r="P86" s="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5">
      <c r="A87" s="12"/>
      <c r="B87" s="36" t="s">
        <v>33</v>
      </c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4">
        <f>SUM(C87:N87)</f>
        <v>0</v>
      </c>
      <c r="P87" s="5" t="e">
        <f>+O87/$O$91</f>
        <v>#DIV/0!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5">
      <c r="A88" s="12"/>
      <c r="B88" s="62" t="s">
        <v>34</v>
      </c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4">
        <f>SUM(C88:N88)</f>
        <v>0</v>
      </c>
      <c r="P88" s="5" t="e">
        <f>+O88/$O$92</f>
        <v>#DIV/0!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5">
      <c r="A89" s="12"/>
      <c r="B89" s="6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4"/>
      <c r="P89" s="5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5.75">
      <c r="A90" s="12"/>
      <c r="B90" s="43" t="s">
        <v>45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4"/>
      <c r="P90" s="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5.75">
      <c r="A91" s="12"/>
      <c r="B91" s="67" t="s">
        <v>33</v>
      </c>
      <c r="C91" s="68">
        <f aca="true" t="shared" si="10" ref="C91:P92">+C83+C87</f>
        <v>0</v>
      </c>
      <c r="D91" s="69">
        <f t="shared" si="10"/>
        <v>0</v>
      </c>
      <c r="E91" s="69">
        <f t="shared" si="10"/>
        <v>0</v>
      </c>
      <c r="F91" s="69">
        <f t="shared" si="10"/>
        <v>0</v>
      </c>
      <c r="G91" s="69">
        <f t="shared" si="10"/>
        <v>0</v>
      </c>
      <c r="H91" s="69">
        <f t="shared" si="10"/>
        <v>0</v>
      </c>
      <c r="I91" s="69">
        <f t="shared" si="10"/>
        <v>0</v>
      </c>
      <c r="J91" s="69">
        <f t="shared" si="10"/>
        <v>0</v>
      </c>
      <c r="K91" s="69">
        <f t="shared" si="10"/>
        <v>0</v>
      </c>
      <c r="L91" s="69">
        <f t="shared" si="10"/>
        <v>0</v>
      </c>
      <c r="M91" s="69">
        <f t="shared" si="10"/>
        <v>0</v>
      </c>
      <c r="N91" s="69">
        <f t="shared" si="10"/>
        <v>0</v>
      </c>
      <c r="O91" s="68">
        <f t="shared" si="10"/>
        <v>0</v>
      </c>
      <c r="P91" s="71" t="e">
        <f t="shared" si="10"/>
        <v>#DIV/0!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5.75">
      <c r="A92" s="12"/>
      <c r="B92" s="43" t="s">
        <v>34</v>
      </c>
      <c r="C92" s="68">
        <f t="shared" si="10"/>
        <v>0</v>
      </c>
      <c r="D92" s="69">
        <f t="shared" si="10"/>
        <v>0</v>
      </c>
      <c r="E92" s="69">
        <f t="shared" si="10"/>
        <v>0</v>
      </c>
      <c r="F92" s="69">
        <f t="shared" si="10"/>
        <v>0</v>
      </c>
      <c r="G92" s="69">
        <f t="shared" si="10"/>
        <v>0</v>
      </c>
      <c r="H92" s="69">
        <f t="shared" si="10"/>
        <v>0</v>
      </c>
      <c r="I92" s="69">
        <f t="shared" si="10"/>
        <v>0</v>
      </c>
      <c r="J92" s="69">
        <f t="shared" si="10"/>
        <v>0</v>
      </c>
      <c r="K92" s="69">
        <f t="shared" si="10"/>
        <v>0</v>
      </c>
      <c r="L92" s="69">
        <f t="shared" si="10"/>
        <v>0</v>
      </c>
      <c r="M92" s="69">
        <f t="shared" si="10"/>
        <v>0</v>
      </c>
      <c r="N92" s="69">
        <f t="shared" si="10"/>
        <v>0</v>
      </c>
      <c r="O92" s="68">
        <f t="shared" si="10"/>
        <v>0</v>
      </c>
      <c r="P92" s="71" t="e">
        <f t="shared" si="10"/>
        <v>#DIV/0!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5.75" thickBot="1">
      <c r="A93" s="12"/>
      <c r="B93" s="30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21"/>
      <c r="P93" s="2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5.75" thickTop="1">
      <c r="A94" s="12"/>
      <c r="B94" s="1" t="s">
        <v>40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5">
      <c r="A95" s="15" t="s">
        <v>30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5" t="s">
        <v>30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85"/>
  <sheetViews>
    <sheetView zoomScale="50" zoomScaleNormal="50" zoomScalePageLayoutView="0" workbookViewId="0" topLeftCell="A1">
      <selection activeCell="A1" sqref="A1"/>
    </sheetView>
  </sheetViews>
  <sheetFormatPr defaultColWidth="11.5546875" defaultRowHeight="15"/>
  <cols>
    <col min="1" max="1" width="0.9921875" style="0" customWidth="1"/>
    <col min="2" max="2" width="12.21484375" style="0" customWidth="1"/>
    <col min="3" max="3" width="9.88671875" style="0" customWidth="1"/>
    <col min="4" max="4" width="8.4453125" style="0" customWidth="1"/>
    <col min="5" max="5" width="7.4453125" style="0" customWidth="1"/>
    <col min="6" max="6" width="8.10546875" style="0" customWidth="1"/>
    <col min="7" max="7" width="6.6640625" style="0" customWidth="1"/>
    <col min="8" max="8" width="7.77734375" style="0" customWidth="1"/>
    <col min="9" max="9" width="7.6640625" style="0" bestFit="1" customWidth="1"/>
    <col min="10" max="10" width="7.6640625" style="0" customWidth="1"/>
    <col min="11" max="11" width="8.6640625" style="0" customWidth="1"/>
    <col min="12" max="12" width="7.6640625" style="0" customWidth="1"/>
    <col min="13" max="13" width="9.10546875" style="0" customWidth="1"/>
    <col min="14" max="14" width="10.214843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81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2000</v>
      </c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185960</v>
      </c>
      <c r="D6" s="111">
        <v>159806</v>
      </c>
      <c r="E6" s="111">
        <v>143535</v>
      </c>
      <c r="F6" s="111">
        <v>143078</v>
      </c>
      <c r="G6" s="111">
        <v>175853</v>
      </c>
      <c r="H6" s="111">
        <v>150517</v>
      </c>
      <c r="I6" s="111">
        <v>116255</v>
      </c>
      <c r="J6" s="111">
        <v>57404</v>
      </c>
      <c r="K6" s="111">
        <v>50936</v>
      </c>
      <c r="L6" s="111">
        <v>150541</v>
      </c>
      <c r="M6" s="111">
        <v>140804</v>
      </c>
      <c r="N6" s="111">
        <v>173817</v>
      </c>
      <c r="O6" s="133">
        <f aca="true" t="shared" si="0" ref="O6:O14">SUM(C6:N6)</f>
        <v>1648506</v>
      </c>
      <c r="P6" s="134">
        <f aca="true" t="shared" si="1" ref="P6:P15">+O6/$O$19</f>
        <v>0.11028291260627779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125203</v>
      </c>
      <c r="D7" s="111">
        <v>117414</v>
      </c>
      <c r="E7" s="111">
        <v>127250</v>
      </c>
      <c r="F7" s="111">
        <v>116273</v>
      </c>
      <c r="G7" s="111">
        <v>122880</v>
      </c>
      <c r="H7" s="111">
        <v>106116</v>
      </c>
      <c r="I7" s="111">
        <v>71914</v>
      </c>
      <c r="J7" s="111">
        <v>29059</v>
      </c>
      <c r="K7" s="111">
        <v>18368</v>
      </c>
      <c r="L7" s="111">
        <v>22941</v>
      </c>
      <c r="M7" s="111">
        <v>46608</v>
      </c>
      <c r="N7" s="111">
        <v>186132</v>
      </c>
      <c r="O7" s="133">
        <f t="shared" si="0"/>
        <v>1090158</v>
      </c>
      <c r="P7" s="134">
        <f t="shared" si="1"/>
        <v>0.07293015581443718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148424</v>
      </c>
      <c r="D8" s="111">
        <v>143083</v>
      </c>
      <c r="E8" s="111">
        <v>142942</v>
      </c>
      <c r="F8" s="111">
        <v>135262</v>
      </c>
      <c r="G8" s="111">
        <v>142440</v>
      </c>
      <c r="H8" s="111">
        <v>115459</v>
      </c>
      <c r="I8" s="111">
        <v>95033</v>
      </c>
      <c r="J8" s="111">
        <v>45270</v>
      </c>
      <c r="K8" s="111">
        <v>31395</v>
      </c>
      <c r="L8" s="111">
        <v>38171</v>
      </c>
      <c r="M8" s="111">
        <v>62860</v>
      </c>
      <c r="N8" s="111">
        <v>155014</v>
      </c>
      <c r="O8" s="133">
        <f t="shared" si="0"/>
        <v>1255353</v>
      </c>
      <c r="P8" s="134">
        <f t="shared" si="1"/>
        <v>0.08398148698823579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151249</v>
      </c>
      <c r="D9" s="111">
        <v>134499</v>
      </c>
      <c r="E9" s="111">
        <v>125461</v>
      </c>
      <c r="F9" s="111">
        <v>143142</v>
      </c>
      <c r="G9" s="111">
        <v>151844</v>
      </c>
      <c r="H9" s="111">
        <v>116351</v>
      </c>
      <c r="I9" s="111">
        <v>71521</v>
      </c>
      <c r="J9" s="111">
        <v>41857</v>
      </c>
      <c r="K9" s="111">
        <v>46048</v>
      </c>
      <c r="L9" s="111">
        <v>61557</v>
      </c>
      <c r="M9" s="111">
        <v>65493</v>
      </c>
      <c r="N9" s="111">
        <v>133119</v>
      </c>
      <c r="O9" s="133">
        <f t="shared" si="0"/>
        <v>1242141</v>
      </c>
      <c r="P9" s="134">
        <f t="shared" si="1"/>
        <v>0.08309762132966123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335501</v>
      </c>
      <c r="D10" s="111">
        <v>293101</v>
      </c>
      <c r="E10" s="111">
        <v>300346</v>
      </c>
      <c r="F10" s="111">
        <v>273907</v>
      </c>
      <c r="G10" s="111">
        <v>288698</v>
      </c>
      <c r="H10" s="111">
        <v>166496</v>
      </c>
      <c r="I10" s="111">
        <v>87416</v>
      </c>
      <c r="J10" s="111">
        <v>33537</v>
      </c>
      <c r="K10" s="111">
        <v>46703</v>
      </c>
      <c r="L10" s="111">
        <v>82819</v>
      </c>
      <c r="M10" s="111">
        <v>160496</v>
      </c>
      <c r="N10" s="111">
        <v>221761</v>
      </c>
      <c r="O10" s="133">
        <f t="shared" si="0"/>
        <v>2290781</v>
      </c>
      <c r="P10" s="134">
        <f t="shared" si="1"/>
        <v>0.15325027681010664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85435</v>
      </c>
      <c r="D11" s="111">
        <v>56830</v>
      </c>
      <c r="E11" s="111">
        <v>55498</v>
      </c>
      <c r="F11" s="111">
        <v>65210</v>
      </c>
      <c r="G11" s="111">
        <v>74014</v>
      </c>
      <c r="H11" s="111">
        <v>55697</v>
      </c>
      <c r="I11" s="111">
        <v>39484</v>
      </c>
      <c r="J11" s="111">
        <v>21213</v>
      </c>
      <c r="K11" s="111">
        <v>29610</v>
      </c>
      <c r="L11" s="111">
        <v>27180</v>
      </c>
      <c r="M11" s="111">
        <v>28039</v>
      </c>
      <c r="N11" s="111">
        <v>72755</v>
      </c>
      <c r="O11" s="133">
        <f t="shared" si="0"/>
        <v>610965</v>
      </c>
      <c r="P11" s="134">
        <f t="shared" si="1"/>
        <v>0.0408727658258414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106453</v>
      </c>
      <c r="D12" s="111">
        <v>96072</v>
      </c>
      <c r="E12" s="111">
        <v>122367</v>
      </c>
      <c r="F12" s="111">
        <v>116888</v>
      </c>
      <c r="G12" s="111">
        <v>119258</v>
      </c>
      <c r="H12" s="111">
        <v>75158</v>
      </c>
      <c r="I12" s="111">
        <v>51781</v>
      </c>
      <c r="J12" s="111">
        <v>42123</v>
      </c>
      <c r="K12" s="111">
        <v>44207</v>
      </c>
      <c r="L12" s="111">
        <v>57996</v>
      </c>
      <c r="M12" s="111">
        <v>72869</v>
      </c>
      <c r="N12" s="111">
        <v>117597</v>
      </c>
      <c r="O12" s="133">
        <f t="shared" si="0"/>
        <v>1022769</v>
      </c>
      <c r="P12" s="134">
        <f t="shared" si="1"/>
        <v>0.06842191914582667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133214</v>
      </c>
      <c r="D13" s="111">
        <v>94102</v>
      </c>
      <c r="E13" s="111">
        <v>98715</v>
      </c>
      <c r="F13" s="111">
        <v>110926</v>
      </c>
      <c r="G13" s="111">
        <v>104884</v>
      </c>
      <c r="H13" s="111">
        <v>79733</v>
      </c>
      <c r="I13" s="111">
        <v>72986</v>
      </c>
      <c r="J13" s="111">
        <v>50643</v>
      </c>
      <c r="K13" s="111">
        <v>59900</v>
      </c>
      <c r="L13" s="111">
        <v>47836</v>
      </c>
      <c r="M13" s="111">
        <v>54569</v>
      </c>
      <c r="N13" s="111">
        <v>126184</v>
      </c>
      <c r="O13" s="133">
        <f t="shared" si="0"/>
        <v>1033692</v>
      </c>
      <c r="P13" s="134">
        <f t="shared" si="1"/>
        <v>0.06915265367418044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215229</v>
      </c>
      <c r="D14" s="111">
        <v>181510</v>
      </c>
      <c r="E14" s="111">
        <v>207557</v>
      </c>
      <c r="F14" s="111">
        <v>211304</v>
      </c>
      <c r="G14" s="111">
        <v>214752</v>
      </c>
      <c r="H14" s="111">
        <v>160351</v>
      </c>
      <c r="I14" s="111">
        <v>95497</v>
      </c>
      <c r="J14" s="111">
        <v>35692</v>
      </c>
      <c r="K14" s="111">
        <v>25417</v>
      </c>
      <c r="L14" s="111">
        <v>95946</v>
      </c>
      <c r="M14" s="111">
        <v>164431</v>
      </c>
      <c r="N14" s="111">
        <v>141808</v>
      </c>
      <c r="O14" s="133">
        <f t="shared" si="0"/>
        <v>1749494</v>
      </c>
      <c r="P14" s="134">
        <f t="shared" si="1"/>
        <v>0.11703887878309654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O15">SUM(C6:C14)</f>
        <v>1486668</v>
      </c>
      <c r="D15" s="114">
        <f t="shared" si="2"/>
        <v>1276417</v>
      </c>
      <c r="E15" s="114">
        <f t="shared" si="2"/>
        <v>1323671</v>
      </c>
      <c r="F15" s="114">
        <f t="shared" si="2"/>
        <v>1315990</v>
      </c>
      <c r="G15" s="114">
        <f t="shared" si="2"/>
        <v>1394623</v>
      </c>
      <c r="H15" s="114">
        <f t="shared" si="2"/>
        <v>1025878</v>
      </c>
      <c r="I15" s="114">
        <f t="shared" si="2"/>
        <v>701887</v>
      </c>
      <c r="J15" s="114">
        <f t="shared" si="2"/>
        <v>356798</v>
      </c>
      <c r="K15" s="114">
        <f t="shared" si="2"/>
        <v>352584</v>
      </c>
      <c r="L15" s="114">
        <f t="shared" si="2"/>
        <v>584987</v>
      </c>
      <c r="M15" s="114">
        <f t="shared" si="2"/>
        <v>796169</v>
      </c>
      <c r="N15" s="114">
        <f t="shared" si="2"/>
        <v>1328187</v>
      </c>
      <c r="O15" s="137">
        <f t="shared" si="2"/>
        <v>11943859</v>
      </c>
      <c r="P15" s="138">
        <f t="shared" si="1"/>
        <v>0.7990286709776636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66" s="115" customFormat="1" ht="15">
      <c r="A16" s="136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37"/>
      <c r="P16" s="138"/>
      <c r="Q16" s="139"/>
      <c r="R16" s="118"/>
      <c r="S16" s="118"/>
      <c r="T16" s="119"/>
      <c r="U16" s="120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</row>
    <row r="17" spans="1:35" ht="15">
      <c r="A17" s="123"/>
      <c r="B17" s="108" t="s">
        <v>27</v>
      </c>
      <c r="C17" s="110">
        <v>357794</v>
      </c>
      <c r="D17" s="111">
        <v>272060</v>
      </c>
      <c r="E17" s="111">
        <v>393198</v>
      </c>
      <c r="F17" s="111">
        <v>402118</v>
      </c>
      <c r="G17" s="111">
        <v>395272</v>
      </c>
      <c r="H17" s="111">
        <v>279566</v>
      </c>
      <c r="I17" s="111">
        <v>111971</v>
      </c>
      <c r="J17" s="111">
        <v>71943</v>
      </c>
      <c r="K17" s="111">
        <v>62443</v>
      </c>
      <c r="L17" s="111">
        <v>77079</v>
      </c>
      <c r="M17" s="111">
        <v>192534</v>
      </c>
      <c r="N17" s="111">
        <v>388136</v>
      </c>
      <c r="O17" s="133">
        <f>SUM(C17:N17)</f>
        <v>3004114</v>
      </c>
      <c r="P17" s="134">
        <f>+O17/$O$19</f>
        <v>0.20097132902233633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P19">+C15+C17</f>
        <v>1844462</v>
      </c>
      <c r="D19" s="148">
        <f t="shared" si="3"/>
        <v>1548477</v>
      </c>
      <c r="E19" s="148">
        <f t="shared" si="3"/>
        <v>1716869</v>
      </c>
      <c r="F19" s="148">
        <f t="shared" si="3"/>
        <v>1718108</v>
      </c>
      <c r="G19" s="148">
        <f t="shared" si="3"/>
        <v>1789895</v>
      </c>
      <c r="H19" s="148">
        <f t="shared" si="3"/>
        <v>1305444</v>
      </c>
      <c r="I19" s="148">
        <f t="shared" si="3"/>
        <v>813858</v>
      </c>
      <c r="J19" s="148">
        <f t="shared" si="3"/>
        <v>428741</v>
      </c>
      <c r="K19" s="148">
        <f t="shared" si="3"/>
        <v>415027</v>
      </c>
      <c r="L19" s="148">
        <f t="shared" si="3"/>
        <v>662066</v>
      </c>
      <c r="M19" s="148">
        <f t="shared" si="3"/>
        <v>988703</v>
      </c>
      <c r="N19" s="148">
        <f t="shared" si="3"/>
        <v>1716323</v>
      </c>
      <c r="O19" s="147">
        <f t="shared" si="3"/>
        <v>14947973</v>
      </c>
      <c r="P19" s="149">
        <f t="shared" si="3"/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51">
        <f>C19</f>
        <v>1844462</v>
      </c>
      <c r="D20" s="151">
        <f aca="true" t="shared" si="4" ref="D20:N20">C20+D19</f>
        <v>3392939</v>
      </c>
      <c r="E20" s="151">
        <f t="shared" si="4"/>
        <v>5109808</v>
      </c>
      <c r="F20" s="151">
        <f t="shared" si="4"/>
        <v>6827916</v>
      </c>
      <c r="G20" s="151">
        <f t="shared" si="4"/>
        <v>8617811</v>
      </c>
      <c r="H20" s="151">
        <f t="shared" si="4"/>
        <v>9923255</v>
      </c>
      <c r="I20" s="151">
        <f t="shared" si="4"/>
        <v>10737113</v>
      </c>
      <c r="J20" s="151">
        <f t="shared" si="4"/>
        <v>11165854</v>
      </c>
      <c r="K20" s="151">
        <f t="shared" si="4"/>
        <v>11580881</v>
      </c>
      <c r="L20" s="151">
        <f t="shared" si="4"/>
        <v>12242947</v>
      </c>
      <c r="M20" s="151">
        <f t="shared" si="4"/>
        <v>13231650</v>
      </c>
      <c r="N20" s="151">
        <f t="shared" si="4"/>
        <v>14947973</v>
      </c>
      <c r="O20" s="152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82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2000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>
        <f aca="true" t="shared" si="5" ref="O30:O39">SUM(C30:N30)</f>
        <v>0</v>
      </c>
      <c r="P30" s="134">
        <f aca="true" t="shared" si="6" ref="P30:P40">+O30/$O$45</f>
        <v>0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850400</v>
      </c>
      <c r="D31" s="111">
        <v>723888</v>
      </c>
      <c r="E31" s="111">
        <v>643791</v>
      </c>
      <c r="F31" s="111">
        <v>671033</v>
      </c>
      <c r="G31" s="111">
        <v>794417</v>
      </c>
      <c r="H31" s="111">
        <v>625132</v>
      </c>
      <c r="I31" s="111">
        <v>453309</v>
      </c>
      <c r="J31" s="111">
        <v>224093</v>
      </c>
      <c r="K31" s="111">
        <v>212583</v>
      </c>
      <c r="L31" s="111">
        <v>660686</v>
      </c>
      <c r="M31" s="111">
        <v>663883</v>
      </c>
      <c r="N31" s="111">
        <v>810009</v>
      </c>
      <c r="O31" s="133">
        <f t="shared" si="5"/>
        <v>7333224</v>
      </c>
      <c r="P31" s="134">
        <f t="shared" si="6"/>
        <v>0.11315071050704875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539888</v>
      </c>
      <c r="D32" s="111">
        <v>506367</v>
      </c>
      <c r="E32" s="111">
        <v>558323</v>
      </c>
      <c r="F32" s="111">
        <v>512848</v>
      </c>
      <c r="G32" s="111">
        <v>532718</v>
      </c>
      <c r="H32" s="111">
        <v>426467</v>
      </c>
      <c r="I32" s="111">
        <v>268467</v>
      </c>
      <c r="J32" s="111">
        <v>103053</v>
      </c>
      <c r="K32" s="111">
        <v>67883</v>
      </c>
      <c r="L32" s="111">
        <v>90509</v>
      </c>
      <c r="M32" s="111">
        <v>194743</v>
      </c>
      <c r="N32" s="111">
        <v>815590</v>
      </c>
      <c r="O32" s="133">
        <f t="shared" si="5"/>
        <v>4616856</v>
      </c>
      <c r="P32" s="134">
        <f t="shared" si="6"/>
        <v>0.07123749891026526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590564</v>
      </c>
      <c r="D33" s="111">
        <v>569602</v>
      </c>
      <c r="E33" s="111">
        <v>598525</v>
      </c>
      <c r="F33" s="111">
        <v>587012</v>
      </c>
      <c r="G33" s="111">
        <v>592255</v>
      </c>
      <c r="H33" s="111">
        <v>463403</v>
      </c>
      <c r="I33" s="111">
        <v>360114</v>
      </c>
      <c r="J33" s="111">
        <v>160835</v>
      </c>
      <c r="K33" s="111">
        <v>113599</v>
      </c>
      <c r="L33" s="111">
        <v>143769</v>
      </c>
      <c r="M33" s="111">
        <v>256355</v>
      </c>
      <c r="N33" s="111">
        <v>667302</v>
      </c>
      <c r="O33" s="133">
        <f t="shared" si="5"/>
        <v>5103335</v>
      </c>
      <c r="P33" s="134">
        <f t="shared" si="6"/>
        <v>0.0787438077993376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f>492817+218055</f>
        <v>710872</v>
      </c>
      <c r="D34" s="111">
        <f>438178+180521</f>
        <v>618699</v>
      </c>
      <c r="E34" s="111">
        <f>431770+170443</f>
        <v>602213</v>
      </c>
      <c r="F34" s="111">
        <f>454443+218326</f>
        <v>672769</v>
      </c>
      <c r="G34" s="111">
        <f>512031+198600</f>
        <v>710631</v>
      </c>
      <c r="H34" s="111">
        <f>377305+160235</f>
        <v>537540</v>
      </c>
      <c r="I34" s="111">
        <f>201409+118043</f>
        <v>319452</v>
      </c>
      <c r="J34" s="111">
        <f>61020+105532</f>
        <v>166552</v>
      </c>
      <c r="K34" s="111">
        <f>132884+48548</f>
        <v>181432</v>
      </c>
      <c r="L34" s="111">
        <f>168842+78850</f>
        <v>247692</v>
      </c>
      <c r="M34" s="111">
        <f>166076+113418</f>
        <v>279494</v>
      </c>
      <c r="N34" s="111">
        <f>362259+229080</f>
        <v>591339</v>
      </c>
      <c r="O34" s="133">
        <f t="shared" si="5"/>
        <v>5638685</v>
      </c>
      <c r="P34" s="134">
        <f t="shared" si="6"/>
        <v>0.08700418998184675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1492507</v>
      </c>
      <c r="D35" s="111">
        <v>1269267</v>
      </c>
      <c r="E35" s="111">
        <v>1322816</v>
      </c>
      <c r="F35" s="111">
        <v>1232320</v>
      </c>
      <c r="G35" s="111">
        <v>1269187</v>
      </c>
      <c r="H35" s="111">
        <v>672224</v>
      </c>
      <c r="I35" s="111">
        <v>234331</v>
      </c>
      <c r="J35" s="111">
        <v>134168</v>
      </c>
      <c r="K35" s="111">
        <v>199058</v>
      </c>
      <c r="L35" s="111">
        <v>381464</v>
      </c>
      <c r="M35" s="111">
        <v>728037</v>
      </c>
      <c r="N35" s="111">
        <v>1026232</v>
      </c>
      <c r="O35" s="133">
        <f t="shared" si="5"/>
        <v>9961611</v>
      </c>
      <c r="P35" s="134">
        <f t="shared" si="6"/>
        <v>0.15370638650133045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375481</v>
      </c>
      <c r="D36" s="111">
        <v>253490</v>
      </c>
      <c r="E36" s="111">
        <v>247453</v>
      </c>
      <c r="F36" s="111">
        <v>291103</v>
      </c>
      <c r="G36" s="111">
        <v>325683</v>
      </c>
      <c r="H36" s="111">
        <v>233860</v>
      </c>
      <c r="I36" s="111">
        <v>154706</v>
      </c>
      <c r="J36" s="111">
        <v>85629</v>
      </c>
      <c r="K36" s="111">
        <v>116183</v>
      </c>
      <c r="L36" s="111">
        <v>119202</v>
      </c>
      <c r="M36" s="111">
        <v>120766</v>
      </c>
      <c r="N36" s="111">
        <v>318266</v>
      </c>
      <c r="O36" s="133">
        <f t="shared" si="5"/>
        <v>2641822</v>
      </c>
      <c r="P36" s="134">
        <f t="shared" si="6"/>
        <v>0.04076297632980427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513285</v>
      </c>
      <c r="D37" s="111">
        <v>435691</v>
      </c>
      <c r="E37" s="111">
        <v>539640</v>
      </c>
      <c r="F37" s="111">
        <v>520167</v>
      </c>
      <c r="G37" s="111">
        <v>535308</v>
      </c>
      <c r="H37" s="111">
        <v>334451</v>
      </c>
      <c r="I37" s="111">
        <v>214766</v>
      </c>
      <c r="J37" s="111">
        <v>137571</v>
      </c>
      <c r="K37" s="111">
        <v>165286</v>
      </c>
      <c r="L37" s="111">
        <v>250933</v>
      </c>
      <c r="M37" s="111">
        <v>318856</v>
      </c>
      <c r="N37" s="111">
        <v>540012</v>
      </c>
      <c r="O37" s="133">
        <f t="shared" si="5"/>
        <v>4505966</v>
      </c>
      <c r="P37" s="134">
        <f t="shared" si="6"/>
        <v>0.06952648036124418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576630</v>
      </c>
      <c r="D38" s="111">
        <v>403040</v>
      </c>
      <c r="E38" s="111">
        <v>437410</v>
      </c>
      <c r="F38" s="111">
        <v>495345</v>
      </c>
      <c r="G38" s="111">
        <v>467015</v>
      </c>
      <c r="H38" s="111">
        <v>339748</v>
      </c>
      <c r="I38" s="111">
        <v>299935</v>
      </c>
      <c r="J38" s="111">
        <v>200230</v>
      </c>
      <c r="K38" s="111">
        <v>231595</v>
      </c>
      <c r="L38" s="111">
        <v>192980</v>
      </c>
      <c r="M38" s="111">
        <v>237045</v>
      </c>
      <c r="N38" s="111">
        <v>565260</v>
      </c>
      <c r="O38" s="133">
        <f t="shared" si="5"/>
        <v>4446233</v>
      </c>
      <c r="P38" s="134">
        <f t="shared" si="6"/>
        <v>0.06860480779393714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976598</v>
      </c>
      <c r="D39" s="111">
        <v>793731</v>
      </c>
      <c r="E39" s="111">
        <v>912521</v>
      </c>
      <c r="F39" s="111">
        <v>948571</v>
      </c>
      <c r="G39" s="111">
        <v>929697</v>
      </c>
      <c r="H39" s="111">
        <v>637206</v>
      </c>
      <c r="I39" s="111">
        <v>355103</v>
      </c>
      <c r="J39" s="111">
        <v>121537</v>
      </c>
      <c r="K39" s="111">
        <v>103184</v>
      </c>
      <c r="L39" s="111">
        <v>410004</v>
      </c>
      <c r="M39" s="111">
        <v>707104</v>
      </c>
      <c r="N39" s="111">
        <v>629562</v>
      </c>
      <c r="O39" s="133">
        <f t="shared" si="5"/>
        <v>7524818</v>
      </c>
      <c r="P39" s="134">
        <f t="shared" si="6"/>
        <v>0.11610698147720969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6626225</v>
      </c>
      <c r="D40" s="164">
        <f t="shared" si="7"/>
        <v>5573775</v>
      </c>
      <c r="E40" s="164">
        <f t="shared" si="7"/>
        <v>5862692</v>
      </c>
      <c r="F40" s="164">
        <f t="shared" si="7"/>
        <v>5931168</v>
      </c>
      <c r="G40" s="164">
        <f t="shared" si="7"/>
        <v>6156911</v>
      </c>
      <c r="H40" s="164">
        <f t="shared" si="7"/>
        <v>4270031</v>
      </c>
      <c r="I40" s="164">
        <f t="shared" si="7"/>
        <v>2660183</v>
      </c>
      <c r="J40" s="164">
        <f t="shared" si="7"/>
        <v>1333668</v>
      </c>
      <c r="K40" s="164">
        <f t="shared" si="7"/>
        <v>1390803</v>
      </c>
      <c r="L40" s="164">
        <f t="shared" si="7"/>
        <v>2497239</v>
      </c>
      <c r="M40" s="164">
        <f t="shared" si="7"/>
        <v>3506283</v>
      </c>
      <c r="N40" s="164">
        <f t="shared" si="7"/>
        <v>5963572</v>
      </c>
      <c r="O40" s="133">
        <f t="shared" si="7"/>
        <v>51772550</v>
      </c>
      <c r="P40" s="134">
        <f t="shared" si="6"/>
        <v>0.7988438396620241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419955</v>
      </c>
      <c r="D42" s="110">
        <v>307704</v>
      </c>
      <c r="E42" s="110">
        <v>448949</v>
      </c>
      <c r="F42" s="110">
        <v>505291</v>
      </c>
      <c r="G42" s="110">
        <v>433329</v>
      </c>
      <c r="H42" s="110">
        <v>264917</v>
      </c>
      <c r="I42" s="111">
        <v>112450</v>
      </c>
      <c r="J42" s="111">
        <v>84461</v>
      </c>
      <c r="K42" s="111">
        <v>86267</v>
      </c>
      <c r="L42" s="111">
        <v>94321</v>
      </c>
      <c r="M42" s="111">
        <v>190071</v>
      </c>
      <c r="N42" s="111">
        <v>425151</v>
      </c>
      <c r="O42" s="133">
        <f>SUM(C42:N42)</f>
        <v>3372866</v>
      </c>
      <c r="P42" s="134">
        <f>+O42/$O$45</f>
        <v>0.05204289195926205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1202354</v>
      </c>
      <c r="D43" s="111">
        <v>888063</v>
      </c>
      <c r="E43" s="111">
        <v>1315157</v>
      </c>
      <c r="F43" s="111">
        <v>1331956</v>
      </c>
      <c r="G43" s="111">
        <v>1294753</v>
      </c>
      <c r="H43" s="111">
        <v>839630</v>
      </c>
      <c r="I43" s="111">
        <v>318570</v>
      </c>
      <c r="J43" s="111">
        <v>189813</v>
      </c>
      <c r="K43" s="111">
        <v>157435</v>
      </c>
      <c r="L43" s="111">
        <v>222515</v>
      </c>
      <c r="M43" s="111">
        <v>617282</v>
      </c>
      <c r="N43" s="111">
        <v>1286406</v>
      </c>
      <c r="O43" s="133">
        <f>SUM(C43:N43)</f>
        <v>9663934</v>
      </c>
      <c r="P43" s="134">
        <f>+O43/$O$45</f>
        <v>0.1491132683787139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 aca="true" t="shared" si="8" ref="C45:P45">+C40+C42+C43</f>
        <v>8248534</v>
      </c>
      <c r="D45" s="148">
        <f t="shared" si="8"/>
        <v>6769542</v>
      </c>
      <c r="E45" s="148">
        <f t="shared" si="8"/>
        <v>7626798</v>
      </c>
      <c r="F45" s="148">
        <f t="shared" si="8"/>
        <v>7768415</v>
      </c>
      <c r="G45" s="148">
        <f t="shared" si="8"/>
        <v>7884993</v>
      </c>
      <c r="H45" s="148">
        <f t="shared" si="8"/>
        <v>5374578</v>
      </c>
      <c r="I45" s="148">
        <f t="shared" si="8"/>
        <v>3091203</v>
      </c>
      <c r="J45" s="148">
        <f t="shared" si="8"/>
        <v>1607942</v>
      </c>
      <c r="K45" s="148">
        <f t="shared" si="8"/>
        <v>1634505</v>
      </c>
      <c r="L45" s="148">
        <f t="shared" si="8"/>
        <v>2814075</v>
      </c>
      <c r="M45" s="148">
        <f t="shared" si="8"/>
        <v>4313636</v>
      </c>
      <c r="N45" s="148">
        <f t="shared" si="8"/>
        <v>7675129</v>
      </c>
      <c r="O45" s="147">
        <f t="shared" si="8"/>
        <v>64809350</v>
      </c>
      <c r="P45" s="149">
        <f t="shared" si="8"/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2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2" t="s">
        <v>30</v>
      </c>
      <c r="Q48" s="12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>
      <c r="A51" s="12" t="s">
        <v>46</v>
      </c>
      <c r="B51" s="12"/>
      <c r="C51" s="16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2"/>
      <c r="P51" s="5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"/>
      <c r="B52" s="12"/>
      <c r="C52" s="24" t="s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6.5" thickBot="1">
      <c r="A53" s="12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1998</v>
      </c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6.5" thickBot="1" thickTop="1">
      <c r="A54" s="12"/>
      <c r="B54" s="30"/>
      <c r="C54" s="32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4" t="s">
        <v>11</v>
      </c>
      <c r="L54" s="33" t="s">
        <v>12</v>
      </c>
      <c r="M54" s="33" t="s">
        <v>13</v>
      </c>
      <c r="N54" s="33" t="s">
        <v>14</v>
      </c>
      <c r="O54" s="35" t="s">
        <v>15</v>
      </c>
      <c r="P54" s="17" t="s">
        <v>16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thickTop="1">
      <c r="A55" s="12"/>
      <c r="B55" s="13"/>
      <c r="C55" s="6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6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"/>
      <c r="B56" s="62" t="s">
        <v>42</v>
      </c>
      <c r="C56" s="3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"/>
      <c r="B57" s="36" t="s">
        <v>33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">
        <f>SUM(C57:N57)</f>
        <v>0</v>
      </c>
      <c r="P57" s="5" t="e">
        <f>+O57/$O$81</f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"/>
      <c r="B58" s="62" t="s">
        <v>34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">
        <f>SUM(C58:N58)</f>
        <v>0</v>
      </c>
      <c r="P58" s="5" t="e">
        <f>+O58/$O$82</f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"/>
      <c r="B59" s="36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4"/>
      <c r="P59" s="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"/>
      <c r="B60" s="36" t="s">
        <v>43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4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"/>
      <c r="B61" s="36" t="s">
        <v>33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">
        <f>SUM(C61:N61)</f>
        <v>0</v>
      </c>
      <c r="P61" s="5" t="e">
        <f>+O61/$O$81</f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62" t="s">
        <v>34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">
        <f>SUM(C62:N62)</f>
        <v>0</v>
      </c>
      <c r="P62" s="5" t="e">
        <f>+O62/$O$82</f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"/>
      <c r="B63" s="3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"/>
      <c r="B64" s="62" t="s">
        <v>32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"/>
      <c r="P64" s="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">
      <c r="A65" s="12"/>
      <c r="B65" s="36" t="s">
        <v>33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">
        <f>SUM(C65:N65)</f>
        <v>0</v>
      </c>
      <c r="P65" s="5" t="e">
        <f>+O65/$O$81</f>
        <v>#DIV/0!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34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">
        <f>SUM(C66:N66)</f>
        <v>0</v>
      </c>
      <c r="P66" s="5" t="e">
        <f>+O66/$O$82</f>
        <v>#DIV/0!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44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/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 t="s">
        <v>33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>
        <f>SUM(C69:N69)</f>
        <v>0</v>
      </c>
      <c r="P69" s="5" t="e">
        <f>+O69/$O$81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34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>
        <f>SUM(C70:N70)</f>
        <v>0</v>
      </c>
      <c r="P70" s="5" t="e">
        <f>+O70/$O$82</f>
        <v>#DIV/0!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>
      <c r="A72" s="12"/>
      <c r="B72" s="66" t="s">
        <v>28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/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>
      <c r="A73" s="12"/>
      <c r="B73" s="67" t="s">
        <v>33</v>
      </c>
      <c r="C73" s="68">
        <f aca="true" t="shared" si="9" ref="C73:N74">+C57+C61+C65+C69</f>
        <v>0</v>
      </c>
      <c r="D73" s="69">
        <f t="shared" si="9"/>
        <v>0</v>
      </c>
      <c r="E73" s="69">
        <f t="shared" si="9"/>
        <v>0</v>
      </c>
      <c r="F73" s="69">
        <f t="shared" si="9"/>
        <v>0</v>
      </c>
      <c r="G73" s="69">
        <f t="shared" si="9"/>
        <v>0</v>
      </c>
      <c r="H73" s="69">
        <f t="shared" si="9"/>
        <v>0</v>
      </c>
      <c r="I73" s="69">
        <f t="shared" si="9"/>
        <v>0</v>
      </c>
      <c r="J73" s="69">
        <f t="shared" si="9"/>
        <v>0</v>
      </c>
      <c r="K73" s="69">
        <f t="shared" si="9"/>
        <v>0</v>
      </c>
      <c r="L73" s="69">
        <f t="shared" si="9"/>
        <v>0</v>
      </c>
      <c r="M73" s="69">
        <f t="shared" si="9"/>
        <v>0</v>
      </c>
      <c r="N73" s="69">
        <f t="shared" si="9"/>
        <v>0</v>
      </c>
      <c r="O73" s="70">
        <f>SUM(C73:N73)</f>
        <v>0</v>
      </c>
      <c r="P73" s="71" t="e">
        <f>+P57+P61+P65+P69</f>
        <v>#DIV/0!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>
      <c r="A74" s="12"/>
      <c r="B74" s="43" t="s">
        <v>34</v>
      </c>
      <c r="C74" s="68">
        <f t="shared" si="9"/>
        <v>0</v>
      </c>
      <c r="D74" s="69">
        <f t="shared" si="9"/>
        <v>0</v>
      </c>
      <c r="E74" s="69">
        <f t="shared" si="9"/>
        <v>0</v>
      </c>
      <c r="F74" s="69">
        <f t="shared" si="9"/>
        <v>0</v>
      </c>
      <c r="G74" s="69">
        <f t="shared" si="9"/>
        <v>0</v>
      </c>
      <c r="H74" s="69">
        <f t="shared" si="9"/>
        <v>0</v>
      </c>
      <c r="I74" s="69">
        <f t="shared" si="9"/>
        <v>0</v>
      </c>
      <c r="J74" s="69">
        <f t="shared" si="9"/>
        <v>0</v>
      </c>
      <c r="K74" s="69">
        <f t="shared" si="9"/>
        <v>0</v>
      </c>
      <c r="L74" s="69">
        <f t="shared" si="9"/>
        <v>0</v>
      </c>
      <c r="M74" s="69">
        <f t="shared" si="9"/>
        <v>0</v>
      </c>
      <c r="N74" s="69">
        <f t="shared" si="9"/>
        <v>0</v>
      </c>
      <c r="O74" s="70">
        <f>SUM(C74:N74)</f>
        <v>0</v>
      </c>
      <c r="P74" s="71" t="e">
        <f>+P58+P62+P66+P70</f>
        <v>#DIV/0!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>
      <c r="A75" s="12"/>
      <c r="B75" s="7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7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5" t="s">
        <v>27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/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 t="s">
        <v>33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>
        <f>SUM(C77:N77)</f>
        <v>0</v>
      </c>
      <c r="P77" s="5" t="e">
        <f>+O77/$O$81</f>
        <v>#DIV/0!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>
        <f>SUM(C78:N78)</f>
        <v>0</v>
      </c>
      <c r="P78" s="5" t="e">
        <f>+O78/$O$82</f>
        <v>#DIV/0!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6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>
      <c r="A80" s="12"/>
      <c r="B80" s="43" t="s">
        <v>45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/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>
      <c r="A81" s="12"/>
      <c r="B81" s="67" t="s">
        <v>33</v>
      </c>
      <c r="C81" s="68">
        <f aca="true" t="shared" si="10" ref="C81:P82">+C73+C77</f>
        <v>0</v>
      </c>
      <c r="D81" s="69">
        <f t="shared" si="10"/>
        <v>0</v>
      </c>
      <c r="E81" s="69">
        <f t="shared" si="10"/>
        <v>0</v>
      </c>
      <c r="F81" s="69">
        <f t="shared" si="10"/>
        <v>0</v>
      </c>
      <c r="G81" s="69">
        <f t="shared" si="10"/>
        <v>0</v>
      </c>
      <c r="H81" s="69">
        <f t="shared" si="10"/>
        <v>0</v>
      </c>
      <c r="I81" s="69">
        <f t="shared" si="10"/>
        <v>0</v>
      </c>
      <c r="J81" s="69">
        <f t="shared" si="10"/>
        <v>0</v>
      </c>
      <c r="K81" s="69">
        <f t="shared" si="10"/>
        <v>0</v>
      </c>
      <c r="L81" s="69">
        <f t="shared" si="10"/>
        <v>0</v>
      </c>
      <c r="M81" s="69">
        <f t="shared" si="10"/>
        <v>0</v>
      </c>
      <c r="N81" s="69">
        <f t="shared" si="10"/>
        <v>0</v>
      </c>
      <c r="O81" s="68">
        <f t="shared" si="10"/>
        <v>0</v>
      </c>
      <c r="P81" s="71" t="e">
        <f t="shared" si="10"/>
        <v>#DIV/0!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43" t="s">
        <v>34</v>
      </c>
      <c r="C82" s="68">
        <f t="shared" si="10"/>
        <v>0</v>
      </c>
      <c r="D82" s="69">
        <f t="shared" si="10"/>
        <v>0</v>
      </c>
      <c r="E82" s="69">
        <f t="shared" si="10"/>
        <v>0</v>
      </c>
      <c r="F82" s="69">
        <f t="shared" si="10"/>
        <v>0</v>
      </c>
      <c r="G82" s="69">
        <f t="shared" si="10"/>
        <v>0</v>
      </c>
      <c r="H82" s="69">
        <f t="shared" si="10"/>
        <v>0</v>
      </c>
      <c r="I82" s="69">
        <f t="shared" si="10"/>
        <v>0</v>
      </c>
      <c r="J82" s="69">
        <f t="shared" si="10"/>
        <v>0</v>
      </c>
      <c r="K82" s="69">
        <f t="shared" si="10"/>
        <v>0</v>
      </c>
      <c r="L82" s="69">
        <f t="shared" si="10"/>
        <v>0</v>
      </c>
      <c r="M82" s="69">
        <f t="shared" si="10"/>
        <v>0</v>
      </c>
      <c r="N82" s="69">
        <f t="shared" si="10"/>
        <v>0</v>
      </c>
      <c r="O82" s="68">
        <f t="shared" si="10"/>
        <v>0</v>
      </c>
      <c r="P82" s="71" t="e">
        <f t="shared" si="10"/>
        <v>#DIV/0!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thickBot="1">
      <c r="A83" s="12"/>
      <c r="B83" s="3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21"/>
      <c r="P83" s="2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thickTop="1">
      <c r="A84" s="12"/>
      <c r="B84" s="1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5" t="s">
        <v>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5" t="s">
        <v>30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85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.4453125" style="0" customWidth="1"/>
    <col min="2" max="2" width="12.21484375" style="0" customWidth="1"/>
    <col min="3" max="3" width="9.88671875" style="0" customWidth="1"/>
    <col min="4" max="4" width="8.4453125" style="0" customWidth="1"/>
    <col min="5" max="5" width="7.4453125" style="0" customWidth="1"/>
    <col min="6" max="6" width="8.10546875" style="0" customWidth="1"/>
    <col min="7" max="8" width="7.77734375" style="0" customWidth="1"/>
    <col min="9" max="9" width="7.6640625" style="0" bestFit="1" customWidth="1"/>
    <col min="10" max="10" width="7.6640625" style="0" customWidth="1"/>
    <col min="11" max="11" width="9.6640625" style="0" customWidth="1"/>
    <col min="12" max="12" width="7.6640625" style="0" customWidth="1"/>
    <col min="13" max="13" width="8.99609375" style="0" customWidth="1"/>
    <col min="14" max="14" width="7.886718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79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2000</v>
      </c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205169</v>
      </c>
      <c r="D6" s="111">
        <v>154214</v>
      </c>
      <c r="E6" s="111">
        <v>164944</v>
      </c>
      <c r="F6" s="111">
        <v>167841</v>
      </c>
      <c r="G6" s="111">
        <v>180363</v>
      </c>
      <c r="H6" s="111">
        <v>123077</v>
      </c>
      <c r="I6" s="111">
        <v>129765</v>
      </c>
      <c r="J6" s="111">
        <v>110844</v>
      </c>
      <c r="K6" s="111">
        <v>98674</v>
      </c>
      <c r="L6" s="111">
        <v>135360</v>
      </c>
      <c r="M6" s="111">
        <v>160570</v>
      </c>
      <c r="N6" s="111">
        <v>165921</v>
      </c>
      <c r="O6" s="133">
        <f aca="true" t="shared" si="0" ref="O6:O14">SUM(C6:N6)</f>
        <v>1796742</v>
      </c>
      <c r="P6" s="134">
        <f aca="true" t="shared" si="1" ref="P6:P15">+O6/$O$19</f>
        <v>0.10084164634016296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57034</v>
      </c>
      <c r="D7" s="111">
        <v>78521</v>
      </c>
      <c r="E7" s="111">
        <v>131035</v>
      </c>
      <c r="F7" s="111">
        <v>108003</v>
      </c>
      <c r="G7" s="111">
        <v>137577</v>
      </c>
      <c r="H7" s="111">
        <v>108889</v>
      </c>
      <c r="I7" s="111">
        <v>79832</v>
      </c>
      <c r="J7" s="111">
        <v>94535</v>
      </c>
      <c r="K7" s="111">
        <v>84703</v>
      </c>
      <c r="L7" s="111">
        <v>95410</v>
      </c>
      <c r="M7" s="111">
        <v>104712</v>
      </c>
      <c r="N7" s="111">
        <v>115056</v>
      </c>
      <c r="O7" s="133">
        <f t="shared" si="0"/>
        <v>1195307</v>
      </c>
      <c r="P7" s="134">
        <f t="shared" si="1"/>
        <v>0.06708627380109174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105918</v>
      </c>
      <c r="D8" s="111">
        <v>132099</v>
      </c>
      <c r="E8" s="111">
        <v>156075</v>
      </c>
      <c r="F8" s="111">
        <v>160477</v>
      </c>
      <c r="G8" s="111">
        <v>153540</v>
      </c>
      <c r="H8" s="111">
        <v>129192</v>
      </c>
      <c r="I8" s="111">
        <v>103657</v>
      </c>
      <c r="J8" s="111">
        <v>124500</v>
      </c>
      <c r="K8" s="111">
        <v>130879</v>
      </c>
      <c r="L8" s="111">
        <v>137085</v>
      </c>
      <c r="M8" s="111">
        <v>129941</v>
      </c>
      <c r="N8" s="111">
        <v>152617</v>
      </c>
      <c r="O8" s="133">
        <f t="shared" si="0"/>
        <v>1615980</v>
      </c>
      <c r="P8" s="134">
        <f t="shared" si="1"/>
        <v>0.09069642923289851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75907</v>
      </c>
      <c r="D9" s="111">
        <v>91328</v>
      </c>
      <c r="E9" s="111">
        <v>119886</v>
      </c>
      <c r="F9" s="111">
        <v>133757</v>
      </c>
      <c r="G9" s="111">
        <v>142966</v>
      </c>
      <c r="H9" s="111">
        <v>97877</v>
      </c>
      <c r="I9" s="111">
        <v>77337</v>
      </c>
      <c r="J9" s="111">
        <v>98149</v>
      </c>
      <c r="K9" s="111">
        <v>100611</v>
      </c>
      <c r="L9" s="111">
        <v>105761</v>
      </c>
      <c r="M9" s="111">
        <v>121060</v>
      </c>
      <c r="N9" s="111">
        <v>134061</v>
      </c>
      <c r="O9" s="133">
        <f t="shared" si="0"/>
        <v>1298700</v>
      </c>
      <c r="P9" s="134">
        <f t="shared" si="1"/>
        <v>0.07288917724524147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266384</v>
      </c>
      <c r="D10" s="111">
        <v>225324</v>
      </c>
      <c r="E10" s="111">
        <v>282501</v>
      </c>
      <c r="F10" s="111">
        <v>297414</v>
      </c>
      <c r="G10" s="111">
        <v>297140</v>
      </c>
      <c r="H10" s="111">
        <v>212843</v>
      </c>
      <c r="I10" s="111">
        <v>201888</v>
      </c>
      <c r="J10" s="111">
        <v>234645</v>
      </c>
      <c r="K10" s="111">
        <v>229536</v>
      </c>
      <c r="L10" s="111">
        <v>324014</v>
      </c>
      <c r="M10" s="111">
        <v>319602</v>
      </c>
      <c r="N10" s="111">
        <v>288263</v>
      </c>
      <c r="O10" s="133">
        <f t="shared" si="0"/>
        <v>3179554</v>
      </c>
      <c r="P10" s="134">
        <f t="shared" si="1"/>
        <v>0.17845158625303495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64712</v>
      </c>
      <c r="D11" s="111">
        <v>56638</v>
      </c>
      <c r="E11" s="111">
        <v>71666</v>
      </c>
      <c r="F11" s="111">
        <v>81361</v>
      </c>
      <c r="G11" s="111">
        <v>95632</v>
      </c>
      <c r="H11" s="111">
        <v>64092</v>
      </c>
      <c r="I11" s="111">
        <v>43977</v>
      </c>
      <c r="J11" s="111">
        <v>43829</v>
      </c>
      <c r="K11" s="111">
        <v>52166</v>
      </c>
      <c r="L11" s="111">
        <v>64905</v>
      </c>
      <c r="M11" s="111">
        <v>61928</v>
      </c>
      <c r="N11" s="111">
        <v>59517</v>
      </c>
      <c r="O11" s="133">
        <f t="shared" si="0"/>
        <v>760423</v>
      </c>
      <c r="P11" s="134">
        <f t="shared" si="1"/>
        <v>0.04267852993636579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111907</v>
      </c>
      <c r="D12" s="111">
        <v>93246</v>
      </c>
      <c r="E12" s="111">
        <v>122944</v>
      </c>
      <c r="F12" s="111">
        <v>110582</v>
      </c>
      <c r="G12" s="111">
        <v>118569</v>
      </c>
      <c r="H12" s="111">
        <v>88778</v>
      </c>
      <c r="I12" s="111">
        <v>67502</v>
      </c>
      <c r="J12" s="111">
        <v>88246</v>
      </c>
      <c r="K12" s="111">
        <v>68426</v>
      </c>
      <c r="L12" s="111">
        <v>104260</v>
      </c>
      <c r="M12" s="111">
        <v>117720</v>
      </c>
      <c r="N12" s="111">
        <v>110805</v>
      </c>
      <c r="O12" s="133">
        <f t="shared" si="0"/>
        <v>1202985</v>
      </c>
      <c r="P12" s="134">
        <f t="shared" si="1"/>
        <v>0.06751719942124186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144086</v>
      </c>
      <c r="D13" s="111">
        <v>84515</v>
      </c>
      <c r="E13" s="111">
        <v>125346</v>
      </c>
      <c r="F13" s="111">
        <v>132298</v>
      </c>
      <c r="G13" s="111">
        <v>141080</v>
      </c>
      <c r="H13" s="111">
        <v>108926</v>
      </c>
      <c r="I13" s="111">
        <v>83671</v>
      </c>
      <c r="J13" s="111">
        <v>73581</v>
      </c>
      <c r="K13" s="111">
        <v>85146</v>
      </c>
      <c r="L13" s="111">
        <v>103555</v>
      </c>
      <c r="M13" s="111">
        <v>90309</v>
      </c>
      <c r="N13" s="111">
        <v>119661</v>
      </c>
      <c r="O13" s="133">
        <f t="shared" si="0"/>
        <v>1292174</v>
      </c>
      <c r="P13" s="134">
        <f t="shared" si="1"/>
        <v>0.07252290730553064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201178</v>
      </c>
      <c r="D14" s="111">
        <v>181300</v>
      </c>
      <c r="E14" s="111">
        <v>210280</v>
      </c>
      <c r="F14" s="111">
        <v>211273</v>
      </c>
      <c r="G14" s="111">
        <v>219240</v>
      </c>
      <c r="H14" s="111">
        <v>136644</v>
      </c>
      <c r="I14" s="111">
        <v>97658</v>
      </c>
      <c r="J14" s="111">
        <v>84878</v>
      </c>
      <c r="K14" s="111">
        <v>65770</v>
      </c>
      <c r="L14" s="111">
        <v>148751</v>
      </c>
      <c r="M14" s="111">
        <v>184187</v>
      </c>
      <c r="N14" s="111">
        <v>187430</v>
      </c>
      <c r="O14" s="133">
        <f t="shared" si="0"/>
        <v>1928589</v>
      </c>
      <c r="P14" s="134">
        <f t="shared" si="1"/>
        <v>0.10824152264127435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O15">SUM(C6:C14)</f>
        <v>1232295</v>
      </c>
      <c r="D15" s="114">
        <f t="shared" si="2"/>
        <v>1097185</v>
      </c>
      <c r="E15" s="114">
        <f t="shared" si="2"/>
        <v>1384677</v>
      </c>
      <c r="F15" s="114">
        <f t="shared" si="2"/>
        <v>1403006</v>
      </c>
      <c r="G15" s="114">
        <f t="shared" si="2"/>
        <v>1486107</v>
      </c>
      <c r="H15" s="114">
        <f t="shared" si="2"/>
        <v>1070318</v>
      </c>
      <c r="I15" s="114">
        <f t="shared" si="2"/>
        <v>885287</v>
      </c>
      <c r="J15" s="114">
        <f t="shared" si="2"/>
        <v>953207</v>
      </c>
      <c r="K15" s="114">
        <f t="shared" si="2"/>
        <v>915911</v>
      </c>
      <c r="L15" s="114">
        <f t="shared" si="2"/>
        <v>1219101</v>
      </c>
      <c r="M15" s="114">
        <f t="shared" si="2"/>
        <v>1290029</v>
      </c>
      <c r="N15" s="114">
        <f t="shared" si="2"/>
        <v>1333331</v>
      </c>
      <c r="O15" s="137">
        <f t="shared" si="2"/>
        <v>14270454</v>
      </c>
      <c r="P15" s="138">
        <f t="shared" si="1"/>
        <v>0.8009252721768423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35" ht="15">
      <c r="A16" s="123"/>
      <c r="B16" s="108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33"/>
      <c r="P16" s="140"/>
      <c r="Q16" s="135"/>
      <c r="R16" s="54"/>
      <c r="S16" s="54"/>
      <c r="T16" s="9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123"/>
      <c r="B17" s="108" t="s">
        <v>27</v>
      </c>
      <c r="C17" s="110">
        <v>300289</v>
      </c>
      <c r="D17" s="111">
        <v>366794</v>
      </c>
      <c r="E17" s="111">
        <v>364518</v>
      </c>
      <c r="F17" s="111">
        <v>434058</v>
      </c>
      <c r="G17" s="111">
        <v>434653</v>
      </c>
      <c r="H17" s="111">
        <v>306338</v>
      </c>
      <c r="I17" s="111">
        <v>196419</v>
      </c>
      <c r="J17" s="111">
        <v>162386</v>
      </c>
      <c r="K17" s="111">
        <v>144407</v>
      </c>
      <c r="L17" s="111">
        <v>260144</v>
      </c>
      <c r="M17" s="111">
        <v>272000</v>
      </c>
      <c r="N17" s="111">
        <v>305000</v>
      </c>
      <c r="O17" s="133">
        <f>SUM(C17:N17)</f>
        <v>3547006</v>
      </c>
      <c r="P17" s="134">
        <f>+O17/$O$19</f>
        <v>0.19907472782315774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P19">+C15+C17</f>
        <v>1532584</v>
      </c>
      <c r="D19" s="148">
        <f t="shared" si="3"/>
        <v>1463979</v>
      </c>
      <c r="E19" s="148">
        <f t="shared" si="3"/>
        <v>1749195</v>
      </c>
      <c r="F19" s="148">
        <f t="shared" si="3"/>
        <v>1837064</v>
      </c>
      <c r="G19" s="148">
        <f t="shared" si="3"/>
        <v>1920760</v>
      </c>
      <c r="H19" s="148">
        <f t="shared" si="3"/>
        <v>1376656</v>
      </c>
      <c r="I19" s="148">
        <f t="shared" si="3"/>
        <v>1081706</v>
      </c>
      <c r="J19" s="148">
        <f t="shared" si="3"/>
        <v>1115593</v>
      </c>
      <c r="K19" s="148">
        <f t="shared" si="3"/>
        <v>1060318</v>
      </c>
      <c r="L19" s="148">
        <f t="shared" si="3"/>
        <v>1479245</v>
      </c>
      <c r="M19" s="148">
        <f t="shared" si="3"/>
        <v>1562029</v>
      </c>
      <c r="N19" s="148">
        <f t="shared" si="3"/>
        <v>1638331</v>
      </c>
      <c r="O19" s="147">
        <f t="shared" si="3"/>
        <v>17817460</v>
      </c>
      <c r="P19" s="149">
        <f t="shared" si="3"/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47">
        <f>C19</f>
        <v>1532584</v>
      </c>
      <c r="D20" s="151">
        <f aca="true" t="shared" si="4" ref="D20:N20">C20+D19</f>
        <v>2996563</v>
      </c>
      <c r="E20" s="151">
        <f t="shared" si="4"/>
        <v>4745758</v>
      </c>
      <c r="F20" s="151">
        <f t="shared" si="4"/>
        <v>6582822</v>
      </c>
      <c r="G20" s="151">
        <f t="shared" si="4"/>
        <v>8503582</v>
      </c>
      <c r="H20" s="151">
        <f t="shared" si="4"/>
        <v>9880238</v>
      </c>
      <c r="I20" s="151">
        <f t="shared" si="4"/>
        <v>10961944</v>
      </c>
      <c r="J20" s="151">
        <f t="shared" si="4"/>
        <v>12077537</v>
      </c>
      <c r="K20" s="151">
        <f t="shared" si="4"/>
        <v>13137855</v>
      </c>
      <c r="L20" s="151">
        <f t="shared" si="4"/>
        <v>14617100</v>
      </c>
      <c r="M20" s="151">
        <f t="shared" si="4"/>
        <v>16179129</v>
      </c>
      <c r="N20" s="151">
        <f t="shared" si="4"/>
        <v>17817460</v>
      </c>
      <c r="O20" s="152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80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2000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>
        <f aca="true" t="shared" si="5" ref="O30:O39">SUM(C30:N30)</f>
        <v>0</v>
      </c>
      <c r="P30" s="134">
        <f aca="true" t="shared" si="6" ref="P30:P40">+O30/$O$45</f>
        <v>0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986235</v>
      </c>
      <c r="D31" s="111">
        <v>729138</v>
      </c>
      <c r="E31" s="111">
        <v>780354</v>
      </c>
      <c r="F31" s="111">
        <v>807778</v>
      </c>
      <c r="G31" s="111">
        <v>849046</v>
      </c>
      <c r="H31" s="111">
        <v>547756</v>
      </c>
      <c r="I31" s="111">
        <v>570231</v>
      </c>
      <c r="J31" s="111">
        <v>469396</v>
      </c>
      <c r="K31" s="111">
        <v>435301</v>
      </c>
      <c r="L31" s="111">
        <v>631083</v>
      </c>
      <c r="M31" s="111">
        <v>774582</v>
      </c>
      <c r="N31" s="111">
        <v>751784</v>
      </c>
      <c r="O31" s="133">
        <f t="shared" si="5"/>
        <v>8332684</v>
      </c>
      <c r="P31" s="134">
        <f t="shared" si="6"/>
        <v>0.10887393169691076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257334</v>
      </c>
      <c r="D32" s="111">
        <v>352404</v>
      </c>
      <c r="E32" s="111">
        <v>579789</v>
      </c>
      <c r="F32" s="111">
        <v>479826</v>
      </c>
      <c r="G32" s="111">
        <v>608700</v>
      </c>
      <c r="H32" s="111">
        <v>453847</v>
      </c>
      <c r="I32" s="111">
        <v>326631</v>
      </c>
      <c r="J32" s="111">
        <v>383813</v>
      </c>
      <c r="K32" s="111">
        <v>343380</v>
      </c>
      <c r="L32" s="111">
        <v>389707</v>
      </c>
      <c r="M32" s="111">
        <v>442727</v>
      </c>
      <c r="N32" s="111">
        <v>489473</v>
      </c>
      <c r="O32" s="133">
        <f t="shared" si="5"/>
        <v>5107631</v>
      </c>
      <c r="P32" s="134">
        <f t="shared" si="6"/>
        <v>0.06673574428443753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447674</v>
      </c>
      <c r="D33" s="111">
        <v>547706</v>
      </c>
      <c r="E33" s="111">
        <v>644254</v>
      </c>
      <c r="F33" s="111">
        <v>679130</v>
      </c>
      <c r="G33" s="111">
        <v>652977</v>
      </c>
      <c r="H33" s="111">
        <v>505059</v>
      </c>
      <c r="I33" s="111">
        <v>386652</v>
      </c>
      <c r="J33" s="111">
        <v>466618</v>
      </c>
      <c r="K33" s="111">
        <v>495923</v>
      </c>
      <c r="L33" s="111">
        <v>561245</v>
      </c>
      <c r="M33" s="111">
        <v>510926</v>
      </c>
      <c r="N33" s="111">
        <v>606699</v>
      </c>
      <c r="O33" s="133">
        <f t="shared" si="5"/>
        <v>6504863</v>
      </c>
      <c r="P33" s="134">
        <f t="shared" si="6"/>
        <v>0.08499182375807868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v>252290</v>
      </c>
      <c r="D34" s="111">
        <v>340241</v>
      </c>
      <c r="E34" s="111">
        <v>429467</v>
      </c>
      <c r="F34" s="111">
        <v>445987</v>
      </c>
      <c r="G34" s="111">
        <v>528569</v>
      </c>
      <c r="H34" s="111">
        <v>277856</v>
      </c>
      <c r="I34" s="111">
        <v>215492</v>
      </c>
      <c r="J34" s="111">
        <v>277263</v>
      </c>
      <c r="K34" s="111">
        <v>257586</v>
      </c>
      <c r="L34" s="111">
        <v>302516</v>
      </c>
      <c r="M34" s="111">
        <f>348229+221947</f>
        <v>570176</v>
      </c>
      <c r="N34" s="111">
        <f>462254+155902</f>
        <v>618156</v>
      </c>
      <c r="O34" s="133">
        <f t="shared" si="5"/>
        <v>4515599</v>
      </c>
      <c r="P34" s="134">
        <f t="shared" si="6"/>
        <v>0.05900031935648088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1189406</v>
      </c>
      <c r="D35" s="111">
        <v>986554</v>
      </c>
      <c r="E35" s="111">
        <v>1242483</v>
      </c>
      <c r="F35" s="111">
        <v>1320735</v>
      </c>
      <c r="G35" s="111">
        <v>1328311</v>
      </c>
      <c r="H35" s="111">
        <v>895083</v>
      </c>
      <c r="I35" s="111">
        <v>802721</v>
      </c>
      <c r="J35" s="111">
        <v>935322</v>
      </c>
      <c r="K35" s="111">
        <v>938498</v>
      </c>
      <c r="L35" s="111">
        <v>1394364</v>
      </c>
      <c r="M35" s="111">
        <v>1436378</v>
      </c>
      <c r="N35" s="111">
        <v>1280811</v>
      </c>
      <c r="O35" s="133">
        <f t="shared" si="5"/>
        <v>13750666</v>
      </c>
      <c r="P35" s="134">
        <f t="shared" si="6"/>
        <v>0.17966468797701113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238613</v>
      </c>
      <c r="D36" s="111">
        <v>231356</v>
      </c>
      <c r="E36" s="111">
        <v>301948</v>
      </c>
      <c r="F36" s="111">
        <v>332430</v>
      </c>
      <c r="G36" s="111">
        <v>353237</v>
      </c>
      <c r="H36" s="111">
        <v>272547</v>
      </c>
      <c r="I36" s="111">
        <v>191456</v>
      </c>
      <c r="J36" s="111">
        <v>187775</v>
      </c>
      <c r="K36" s="111">
        <v>228482</v>
      </c>
      <c r="L36" s="111">
        <v>286842</v>
      </c>
      <c r="M36" s="111">
        <v>250855</v>
      </c>
      <c r="N36" s="111">
        <v>258157</v>
      </c>
      <c r="O36" s="133">
        <f t="shared" si="5"/>
        <v>3133698</v>
      </c>
      <c r="P36" s="134">
        <f t="shared" si="6"/>
        <v>0.04094455304086245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493015</v>
      </c>
      <c r="D37" s="111">
        <v>445716</v>
      </c>
      <c r="E37" s="111">
        <v>553251</v>
      </c>
      <c r="F37" s="111">
        <v>496125</v>
      </c>
      <c r="G37" s="111">
        <v>533564</v>
      </c>
      <c r="H37" s="111">
        <v>399501</v>
      </c>
      <c r="I37" s="111">
        <v>300704</v>
      </c>
      <c r="J37" s="111">
        <v>362693</v>
      </c>
      <c r="K37" s="111">
        <v>307018</v>
      </c>
      <c r="L37" s="111">
        <v>444103</v>
      </c>
      <c r="M37" s="111">
        <v>517647</v>
      </c>
      <c r="N37" s="111">
        <v>477490</v>
      </c>
      <c r="O37" s="133">
        <f t="shared" si="5"/>
        <v>5330827</v>
      </c>
      <c r="P37" s="134">
        <f t="shared" si="6"/>
        <v>0.06965199864606023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660510</v>
      </c>
      <c r="D38" s="111">
        <v>363212</v>
      </c>
      <c r="E38" s="111">
        <v>545615</v>
      </c>
      <c r="F38" s="111">
        <v>610650</v>
      </c>
      <c r="G38" s="111">
        <v>692437</v>
      </c>
      <c r="H38" s="111">
        <v>455747</v>
      </c>
      <c r="I38" s="111">
        <v>347360</v>
      </c>
      <c r="J38" s="111">
        <v>301564</v>
      </c>
      <c r="K38" s="111">
        <v>359275</v>
      </c>
      <c r="L38" s="111">
        <v>438468</v>
      </c>
      <c r="M38" s="111">
        <v>391025</v>
      </c>
      <c r="N38" s="111">
        <v>519366</v>
      </c>
      <c r="O38" s="133">
        <f t="shared" si="5"/>
        <v>5685229</v>
      </c>
      <c r="P38" s="134">
        <f t="shared" si="6"/>
        <v>0.07428257615760975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961008</v>
      </c>
      <c r="D39" s="111">
        <v>836738</v>
      </c>
      <c r="E39" s="111">
        <v>986374</v>
      </c>
      <c r="F39" s="111">
        <v>986311</v>
      </c>
      <c r="G39" s="111">
        <v>994631</v>
      </c>
      <c r="H39" s="111">
        <v>596291</v>
      </c>
      <c r="I39" s="111">
        <v>403407</v>
      </c>
      <c r="J39" s="111">
        <v>343111</v>
      </c>
      <c r="K39" s="111">
        <v>265475</v>
      </c>
      <c r="L39" s="111">
        <v>640633</v>
      </c>
      <c r="M39" s="111">
        <v>820472</v>
      </c>
      <c r="N39" s="111">
        <v>817516</v>
      </c>
      <c r="O39" s="133">
        <f t="shared" si="5"/>
        <v>8651967</v>
      </c>
      <c r="P39" s="134">
        <f t="shared" si="6"/>
        <v>0.1130456482211405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5486085</v>
      </c>
      <c r="D40" s="164">
        <f t="shared" si="7"/>
        <v>4833065</v>
      </c>
      <c r="E40" s="164">
        <f t="shared" si="7"/>
        <v>6063535</v>
      </c>
      <c r="F40" s="164">
        <f t="shared" si="7"/>
        <v>6158972</v>
      </c>
      <c r="G40" s="164">
        <f t="shared" si="7"/>
        <v>6541472</v>
      </c>
      <c r="H40" s="164">
        <f t="shared" si="7"/>
        <v>4403687</v>
      </c>
      <c r="I40" s="164">
        <f t="shared" si="7"/>
        <v>3544654</v>
      </c>
      <c r="J40" s="164">
        <f t="shared" si="7"/>
        <v>3727555</v>
      </c>
      <c r="K40" s="164">
        <f t="shared" si="7"/>
        <v>3630938</v>
      </c>
      <c r="L40" s="164">
        <f t="shared" si="7"/>
        <v>5088961</v>
      </c>
      <c r="M40" s="164">
        <f t="shared" si="7"/>
        <v>5714788</v>
      </c>
      <c r="N40" s="164">
        <f t="shared" si="7"/>
        <v>5819452</v>
      </c>
      <c r="O40" s="133">
        <f t="shared" si="7"/>
        <v>61013164</v>
      </c>
      <c r="P40" s="134">
        <f t="shared" si="6"/>
        <v>0.7971912831385919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332835</v>
      </c>
      <c r="D42" s="110">
        <v>432360</v>
      </c>
      <c r="E42" s="110">
        <v>450824</v>
      </c>
      <c r="F42" s="110">
        <v>459012</v>
      </c>
      <c r="G42" s="110">
        <v>514751</v>
      </c>
      <c r="H42" s="110">
        <v>321123</v>
      </c>
      <c r="I42" s="166">
        <v>197077</v>
      </c>
      <c r="J42" s="166">
        <v>171040</v>
      </c>
      <c r="K42" s="166">
        <v>153443</v>
      </c>
      <c r="L42" s="166">
        <v>255151</v>
      </c>
      <c r="M42" s="166">
        <v>334000</v>
      </c>
      <c r="N42" s="166">
        <v>483000</v>
      </c>
      <c r="O42" s="133">
        <f>SUM(C42:N42)</f>
        <v>4104616</v>
      </c>
      <c r="P42" s="134">
        <f>+O42/$O$45</f>
        <v>0.05363046072862562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1016543</v>
      </c>
      <c r="D43" s="111">
        <v>1122540</v>
      </c>
      <c r="E43" s="111">
        <v>1096200</v>
      </c>
      <c r="F43" s="111">
        <v>1394011</v>
      </c>
      <c r="G43" s="111">
        <v>1483879</v>
      </c>
      <c r="H43" s="111">
        <v>941875</v>
      </c>
      <c r="I43" s="111">
        <v>562004</v>
      </c>
      <c r="J43" s="111">
        <v>469595</v>
      </c>
      <c r="K43" s="111">
        <v>422103</v>
      </c>
      <c r="L43" s="111">
        <v>818632</v>
      </c>
      <c r="M43" s="111">
        <v>970000</v>
      </c>
      <c r="N43" s="111">
        <v>1120000</v>
      </c>
      <c r="O43" s="133">
        <f>SUM(C43:N43)</f>
        <v>11417382</v>
      </c>
      <c r="P43" s="134">
        <f>+O43/$O$45</f>
        <v>0.14917825613278246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 aca="true" t="shared" si="8" ref="C45:P45">+C40+C42+C43</f>
        <v>6835463</v>
      </c>
      <c r="D45" s="148">
        <f t="shared" si="8"/>
        <v>6387965</v>
      </c>
      <c r="E45" s="148">
        <f t="shared" si="8"/>
        <v>7610559</v>
      </c>
      <c r="F45" s="148">
        <f t="shared" si="8"/>
        <v>8011995</v>
      </c>
      <c r="G45" s="148">
        <f t="shared" si="8"/>
        <v>8540102</v>
      </c>
      <c r="H45" s="148">
        <f t="shared" si="8"/>
        <v>5666685</v>
      </c>
      <c r="I45" s="148">
        <f t="shared" si="8"/>
        <v>4303735</v>
      </c>
      <c r="J45" s="148">
        <f t="shared" si="8"/>
        <v>4368190</v>
      </c>
      <c r="K45" s="148">
        <f t="shared" si="8"/>
        <v>4206484</v>
      </c>
      <c r="L45" s="148">
        <f t="shared" si="8"/>
        <v>6162744</v>
      </c>
      <c r="M45" s="148">
        <f t="shared" si="8"/>
        <v>7018788</v>
      </c>
      <c r="N45" s="148">
        <f t="shared" si="8"/>
        <v>7422452</v>
      </c>
      <c r="O45" s="147">
        <f t="shared" si="8"/>
        <v>76535162</v>
      </c>
      <c r="P45" s="149">
        <f t="shared" si="8"/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2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2" t="s">
        <v>30</v>
      </c>
      <c r="Q48" s="12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>
      <c r="A51" s="12" t="s">
        <v>46</v>
      </c>
      <c r="B51" s="12"/>
      <c r="C51" s="16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2"/>
      <c r="P51" s="5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"/>
      <c r="B52" s="12"/>
      <c r="C52" s="24" t="s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6.5" thickBot="1">
      <c r="A53" s="12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1998</v>
      </c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6.5" thickBot="1" thickTop="1">
      <c r="A54" s="12"/>
      <c r="B54" s="30"/>
      <c r="C54" s="32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4" t="s">
        <v>11</v>
      </c>
      <c r="L54" s="33" t="s">
        <v>12</v>
      </c>
      <c r="M54" s="33" t="s">
        <v>13</v>
      </c>
      <c r="N54" s="33" t="s">
        <v>14</v>
      </c>
      <c r="O54" s="35" t="s">
        <v>15</v>
      </c>
      <c r="P54" s="17" t="s">
        <v>16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thickTop="1">
      <c r="A55" s="12"/>
      <c r="B55" s="13"/>
      <c r="C55" s="6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6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"/>
      <c r="B56" s="62" t="s">
        <v>42</v>
      </c>
      <c r="C56" s="3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"/>
      <c r="B57" s="36" t="s">
        <v>33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">
        <f>SUM(C57:N57)</f>
        <v>0</v>
      </c>
      <c r="P57" s="5" t="e">
        <f>+O57/$O$81</f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"/>
      <c r="B58" s="62" t="s">
        <v>34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">
        <f>SUM(C58:N58)</f>
        <v>0</v>
      </c>
      <c r="P58" s="5" t="e">
        <f>+O58/$O$82</f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"/>
      <c r="B59" s="36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4"/>
      <c r="P59" s="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"/>
      <c r="B60" s="36" t="s">
        <v>43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4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"/>
      <c r="B61" s="36" t="s">
        <v>33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">
        <f>SUM(C61:N61)</f>
        <v>0</v>
      </c>
      <c r="P61" s="5" t="e">
        <f>+O61/$O$81</f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62" t="s">
        <v>34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">
        <f>SUM(C62:N62)</f>
        <v>0</v>
      </c>
      <c r="P62" s="5" t="e">
        <f>+O62/$O$82</f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"/>
      <c r="B63" s="3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"/>
      <c r="B64" s="62" t="s">
        <v>32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"/>
      <c r="P64" s="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">
      <c r="A65" s="12"/>
      <c r="B65" s="36" t="s">
        <v>33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">
        <f>SUM(C65:N65)</f>
        <v>0</v>
      </c>
      <c r="P65" s="5" t="e">
        <f>+O65/$O$81</f>
        <v>#DIV/0!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34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">
        <f>SUM(C66:N66)</f>
        <v>0</v>
      </c>
      <c r="P66" s="5" t="e">
        <f>+O66/$O$82</f>
        <v>#DIV/0!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44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/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 t="s">
        <v>33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>
        <f>SUM(C69:N69)</f>
        <v>0</v>
      </c>
      <c r="P69" s="5" t="e">
        <f>+O69/$O$81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34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>
        <f>SUM(C70:N70)</f>
        <v>0</v>
      </c>
      <c r="P70" s="5" t="e">
        <f>+O70/$O$82</f>
        <v>#DIV/0!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>
      <c r="A72" s="12"/>
      <c r="B72" s="66" t="s">
        <v>28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/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>
      <c r="A73" s="12"/>
      <c r="B73" s="67" t="s">
        <v>33</v>
      </c>
      <c r="C73" s="68">
        <f aca="true" t="shared" si="9" ref="C73:N73">+C57+C61+C65+C69</f>
        <v>0</v>
      </c>
      <c r="D73" s="69">
        <f t="shared" si="9"/>
        <v>0</v>
      </c>
      <c r="E73" s="69">
        <f t="shared" si="9"/>
        <v>0</v>
      </c>
      <c r="F73" s="69">
        <f t="shared" si="9"/>
        <v>0</v>
      </c>
      <c r="G73" s="69">
        <f t="shared" si="9"/>
        <v>0</v>
      </c>
      <c r="H73" s="69">
        <f t="shared" si="9"/>
        <v>0</v>
      </c>
      <c r="I73" s="69">
        <f t="shared" si="9"/>
        <v>0</v>
      </c>
      <c r="J73" s="69">
        <f t="shared" si="9"/>
        <v>0</v>
      </c>
      <c r="K73" s="69">
        <f t="shared" si="9"/>
        <v>0</v>
      </c>
      <c r="L73" s="69">
        <f t="shared" si="9"/>
        <v>0</v>
      </c>
      <c r="M73" s="69">
        <f t="shared" si="9"/>
        <v>0</v>
      </c>
      <c r="N73" s="69">
        <f t="shared" si="9"/>
        <v>0</v>
      </c>
      <c r="O73" s="70">
        <f>SUM(C73:N73)</f>
        <v>0</v>
      </c>
      <c r="P73" s="71" t="e">
        <f>+P57+P61+P65+P69</f>
        <v>#DIV/0!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>
      <c r="A74" s="12"/>
      <c r="B74" s="43" t="s">
        <v>34</v>
      </c>
      <c r="C74" s="68">
        <f aca="true" t="shared" si="10" ref="C74:N74">+C58+C62+C66+C70</f>
        <v>0</v>
      </c>
      <c r="D74" s="69">
        <f t="shared" si="10"/>
        <v>0</v>
      </c>
      <c r="E74" s="69">
        <f t="shared" si="10"/>
        <v>0</v>
      </c>
      <c r="F74" s="69">
        <f t="shared" si="10"/>
        <v>0</v>
      </c>
      <c r="G74" s="69">
        <f t="shared" si="10"/>
        <v>0</v>
      </c>
      <c r="H74" s="69">
        <f t="shared" si="10"/>
        <v>0</v>
      </c>
      <c r="I74" s="69">
        <f t="shared" si="10"/>
        <v>0</v>
      </c>
      <c r="J74" s="69">
        <f t="shared" si="10"/>
        <v>0</v>
      </c>
      <c r="K74" s="69">
        <f t="shared" si="10"/>
        <v>0</v>
      </c>
      <c r="L74" s="69">
        <f t="shared" si="10"/>
        <v>0</v>
      </c>
      <c r="M74" s="69">
        <f t="shared" si="10"/>
        <v>0</v>
      </c>
      <c r="N74" s="69">
        <f t="shared" si="10"/>
        <v>0</v>
      </c>
      <c r="O74" s="70">
        <f>SUM(C74:N74)</f>
        <v>0</v>
      </c>
      <c r="P74" s="71" t="e">
        <f>+P58+P62+P66+P70</f>
        <v>#DIV/0!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>
      <c r="A75" s="12"/>
      <c r="B75" s="7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7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5" t="s">
        <v>27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/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 t="s">
        <v>33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>
        <f>SUM(C77:N77)</f>
        <v>0</v>
      </c>
      <c r="P77" s="5" t="e">
        <f>+O77/$O$81</f>
        <v>#DIV/0!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>
        <f>SUM(C78:N78)</f>
        <v>0</v>
      </c>
      <c r="P78" s="5" t="e">
        <f>+O78/$O$82</f>
        <v>#DIV/0!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6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>
      <c r="A80" s="12"/>
      <c r="B80" s="43" t="s">
        <v>45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/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>
      <c r="A81" s="12"/>
      <c r="B81" s="67" t="s">
        <v>33</v>
      </c>
      <c r="C81" s="68">
        <f aca="true" t="shared" si="11" ref="C81:P81">+C73+C77</f>
        <v>0</v>
      </c>
      <c r="D81" s="69">
        <f t="shared" si="11"/>
        <v>0</v>
      </c>
      <c r="E81" s="69">
        <f t="shared" si="11"/>
        <v>0</v>
      </c>
      <c r="F81" s="69">
        <f t="shared" si="11"/>
        <v>0</v>
      </c>
      <c r="G81" s="69">
        <f t="shared" si="11"/>
        <v>0</v>
      </c>
      <c r="H81" s="69">
        <f t="shared" si="11"/>
        <v>0</v>
      </c>
      <c r="I81" s="69">
        <f t="shared" si="11"/>
        <v>0</v>
      </c>
      <c r="J81" s="69">
        <f t="shared" si="11"/>
        <v>0</v>
      </c>
      <c r="K81" s="69">
        <f t="shared" si="11"/>
        <v>0</v>
      </c>
      <c r="L81" s="69">
        <f t="shared" si="11"/>
        <v>0</v>
      </c>
      <c r="M81" s="69">
        <f t="shared" si="11"/>
        <v>0</v>
      </c>
      <c r="N81" s="69">
        <f t="shared" si="11"/>
        <v>0</v>
      </c>
      <c r="O81" s="68">
        <f t="shared" si="11"/>
        <v>0</v>
      </c>
      <c r="P81" s="71" t="e">
        <f t="shared" si="11"/>
        <v>#DIV/0!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43" t="s">
        <v>34</v>
      </c>
      <c r="C82" s="68">
        <f aca="true" t="shared" si="12" ref="C82:P82">+C74+C78</f>
        <v>0</v>
      </c>
      <c r="D82" s="69">
        <f t="shared" si="12"/>
        <v>0</v>
      </c>
      <c r="E82" s="69">
        <f t="shared" si="12"/>
        <v>0</v>
      </c>
      <c r="F82" s="69">
        <f t="shared" si="12"/>
        <v>0</v>
      </c>
      <c r="G82" s="69">
        <f t="shared" si="12"/>
        <v>0</v>
      </c>
      <c r="H82" s="69">
        <f t="shared" si="12"/>
        <v>0</v>
      </c>
      <c r="I82" s="69">
        <f t="shared" si="12"/>
        <v>0</v>
      </c>
      <c r="J82" s="69">
        <f t="shared" si="12"/>
        <v>0</v>
      </c>
      <c r="K82" s="69">
        <f t="shared" si="12"/>
        <v>0</v>
      </c>
      <c r="L82" s="69">
        <f t="shared" si="12"/>
        <v>0</v>
      </c>
      <c r="M82" s="69">
        <f t="shared" si="12"/>
        <v>0</v>
      </c>
      <c r="N82" s="69">
        <f t="shared" si="12"/>
        <v>0</v>
      </c>
      <c r="O82" s="68">
        <f t="shared" si="12"/>
        <v>0</v>
      </c>
      <c r="P82" s="71" t="e">
        <f t="shared" si="12"/>
        <v>#DIV/0!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thickBot="1">
      <c r="A83" s="12"/>
      <c r="B83" s="3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21"/>
      <c r="P83" s="2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thickTop="1">
      <c r="A84" s="12"/>
      <c r="B84" s="1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5" t="s">
        <v>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5" t="s">
        <v>30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85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0.9921875" style="0" customWidth="1"/>
    <col min="2" max="2" width="12.21484375" style="0" customWidth="1"/>
    <col min="3" max="3" width="9.88671875" style="0" customWidth="1"/>
    <col min="4" max="4" width="8.4453125" style="0" customWidth="1"/>
    <col min="5" max="5" width="7.4453125" style="0" customWidth="1"/>
    <col min="6" max="6" width="8.10546875" style="0" customWidth="1"/>
    <col min="7" max="8" width="7.77734375" style="0" customWidth="1"/>
    <col min="9" max="9" width="6.88671875" style="0" bestFit="1" customWidth="1"/>
    <col min="10" max="10" width="7.6640625" style="0" bestFit="1" customWidth="1"/>
    <col min="11" max="11" width="9.6640625" style="0" bestFit="1" customWidth="1"/>
    <col min="12" max="12" width="7.6640625" style="0" bestFit="1" customWidth="1"/>
    <col min="13" max="13" width="8.99609375" style="0" bestFit="1" customWidth="1"/>
    <col min="14" max="14" width="7.88671875" style="0" customWidth="1"/>
    <col min="15" max="15" width="8.6640625" style="0" customWidth="1"/>
    <col min="16" max="16" width="8.88671875" style="0" customWidth="1"/>
  </cols>
  <sheetData>
    <row r="1" spans="1:35" ht="15">
      <c r="A1" s="123"/>
      <c r="B1" s="123"/>
      <c r="C1" s="124" t="s">
        <v>67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2000</v>
      </c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169898</v>
      </c>
      <c r="D6" s="111">
        <v>166464</v>
      </c>
      <c r="E6" s="111">
        <v>140442</v>
      </c>
      <c r="F6" s="111">
        <v>146805</v>
      </c>
      <c r="G6" s="111">
        <v>164491</v>
      </c>
      <c r="H6" s="111">
        <v>119175</v>
      </c>
      <c r="I6" s="111">
        <v>91041</v>
      </c>
      <c r="J6" s="111">
        <v>62191</v>
      </c>
      <c r="K6" s="111">
        <v>50797</v>
      </c>
      <c r="L6" s="111">
        <v>120063</v>
      </c>
      <c r="M6" s="111">
        <v>193330</v>
      </c>
      <c r="N6" s="111">
        <v>157828</v>
      </c>
      <c r="O6" s="133">
        <f>SUM(C6:N6)</f>
        <v>1582525</v>
      </c>
      <c r="P6" s="134">
        <f aca="true" t="shared" si="0" ref="P6:P15">+O6/$O$19</f>
        <v>0.10928098186012697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97703</v>
      </c>
      <c r="D7" s="111">
        <v>87496</v>
      </c>
      <c r="E7" s="111">
        <v>79006</v>
      </c>
      <c r="F7" s="111">
        <v>94309</v>
      </c>
      <c r="G7" s="111">
        <v>100119</v>
      </c>
      <c r="H7" s="111">
        <v>59278</v>
      </c>
      <c r="I7" s="111">
        <v>35492</v>
      </c>
      <c r="J7" s="111">
        <v>11762</v>
      </c>
      <c r="K7" s="111">
        <v>4839</v>
      </c>
      <c r="L7" s="111">
        <v>10887</v>
      </c>
      <c r="M7" s="111">
        <v>58911</v>
      </c>
      <c r="N7" s="111">
        <v>146456</v>
      </c>
      <c r="O7" s="133">
        <f aca="true" t="shared" si="1" ref="O7:O14">SUM(C7:N7)</f>
        <v>786258</v>
      </c>
      <c r="P7" s="134">
        <f t="shared" si="0"/>
        <v>0.054294906074393585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127379</v>
      </c>
      <c r="D8" s="111">
        <v>125064</v>
      </c>
      <c r="E8" s="111">
        <v>129345</v>
      </c>
      <c r="F8" s="111">
        <v>123249</v>
      </c>
      <c r="G8" s="111">
        <v>145110</v>
      </c>
      <c r="H8" s="111">
        <v>101320</v>
      </c>
      <c r="I8" s="111">
        <v>66300</v>
      </c>
      <c r="J8" s="111">
        <v>45108</v>
      </c>
      <c r="K8" s="111">
        <v>32825</v>
      </c>
      <c r="L8" s="111">
        <v>58248</v>
      </c>
      <c r="M8" s="111">
        <v>126905</v>
      </c>
      <c r="N8" s="111">
        <v>135800</v>
      </c>
      <c r="O8" s="133">
        <f t="shared" si="1"/>
        <v>1216653</v>
      </c>
      <c r="P8" s="134">
        <f t="shared" si="0"/>
        <v>0.08401575610057918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147445</v>
      </c>
      <c r="D9" s="111">
        <v>113262</v>
      </c>
      <c r="E9" s="111">
        <v>120867</v>
      </c>
      <c r="F9" s="111">
        <v>106829</v>
      </c>
      <c r="G9" s="111">
        <v>128644</v>
      </c>
      <c r="H9" s="111">
        <v>79858</v>
      </c>
      <c r="I9" s="111">
        <v>39015</v>
      </c>
      <c r="J9" s="111">
        <v>33294</v>
      </c>
      <c r="K9" s="111">
        <v>23965</v>
      </c>
      <c r="L9" s="111">
        <v>45226</v>
      </c>
      <c r="M9" s="111">
        <v>73820</v>
      </c>
      <c r="N9" s="111">
        <v>96620</v>
      </c>
      <c r="O9" s="133">
        <f t="shared" si="1"/>
        <v>1008845</v>
      </c>
      <c r="P9" s="134">
        <f t="shared" si="0"/>
        <v>0.06966561169313584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188390</v>
      </c>
      <c r="D10" s="111">
        <v>157476</v>
      </c>
      <c r="E10" s="111">
        <v>158901</v>
      </c>
      <c r="F10" s="111">
        <v>175991</v>
      </c>
      <c r="G10" s="111">
        <v>203622</v>
      </c>
      <c r="H10" s="111">
        <v>156226</v>
      </c>
      <c r="I10" s="111">
        <v>127115</v>
      </c>
      <c r="J10" s="111">
        <v>115611</v>
      </c>
      <c r="K10" s="111">
        <v>104117</v>
      </c>
      <c r="L10" s="111">
        <v>156228</v>
      </c>
      <c r="M10" s="111">
        <v>226969</v>
      </c>
      <c r="N10" s="111">
        <v>200670</v>
      </c>
      <c r="O10" s="133">
        <f t="shared" si="1"/>
        <v>1971316</v>
      </c>
      <c r="P10" s="134">
        <f t="shared" si="0"/>
        <v>0.13612887508037982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64497</v>
      </c>
      <c r="D11" s="111">
        <v>71235</v>
      </c>
      <c r="E11" s="111">
        <v>55857</v>
      </c>
      <c r="F11" s="111">
        <v>68099</v>
      </c>
      <c r="G11" s="111">
        <v>73862</v>
      </c>
      <c r="H11" s="111">
        <v>55372</v>
      </c>
      <c r="I11" s="111">
        <v>27182</v>
      </c>
      <c r="J11" s="111">
        <v>22103</v>
      </c>
      <c r="K11" s="111">
        <v>27984</v>
      </c>
      <c r="L11" s="111">
        <v>36648</v>
      </c>
      <c r="M11" s="111">
        <v>62373</v>
      </c>
      <c r="N11" s="111">
        <v>77224</v>
      </c>
      <c r="O11" s="133">
        <f t="shared" si="1"/>
        <v>642436</v>
      </c>
      <c r="P11" s="134">
        <f t="shared" si="0"/>
        <v>0.04436330349428447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111943</v>
      </c>
      <c r="D12" s="111">
        <v>83056</v>
      </c>
      <c r="E12" s="111">
        <v>102016</v>
      </c>
      <c r="F12" s="111">
        <v>75271</v>
      </c>
      <c r="G12" s="111">
        <v>100670</v>
      </c>
      <c r="H12" s="111">
        <v>64189</v>
      </c>
      <c r="I12" s="111">
        <v>51065</v>
      </c>
      <c r="J12" s="111">
        <v>44086</v>
      </c>
      <c r="K12" s="111">
        <v>55151</v>
      </c>
      <c r="L12" s="111">
        <v>55910</v>
      </c>
      <c r="M12" s="111">
        <v>113246</v>
      </c>
      <c r="N12" s="111">
        <v>91448</v>
      </c>
      <c r="O12" s="133">
        <f t="shared" si="1"/>
        <v>948051</v>
      </c>
      <c r="P12" s="134">
        <f t="shared" si="0"/>
        <v>0.06546749285696923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99749</v>
      </c>
      <c r="D13" s="111">
        <v>114597</v>
      </c>
      <c r="E13" s="111">
        <v>116686</v>
      </c>
      <c r="F13" s="111">
        <v>98228</v>
      </c>
      <c r="G13" s="111">
        <v>108285</v>
      </c>
      <c r="H13" s="111">
        <v>80850</v>
      </c>
      <c r="I13" s="111">
        <v>68067</v>
      </c>
      <c r="J13" s="111">
        <v>67838</v>
      </c>
      <c r="K13" s="111">
        <v>55189</v>
      </c>
      <c r="L13" s="111">
        <v>61221</v>
      </c>
      <c r="M13" s="111">
        <v>85433</v>
      </c>
      <c r="N13" s="111">
        <v>154385</v>
      </c>
      <c r="O13" s="133">
        <f t="shared" si="1"/>
        <v>1110528</v>
      </c>
      <c r="P13" s="134">
        <f t="shared" si="0"/>
        <v>0.07668731313765223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184122</v>
      </c>
      <c r="D14" s="111">
        <v>176245</v>
      </c>
      <c r="E14" s="111">
        <v>172895</v>
      </c>
      <c r="F14" s="111">
        <v>170490</v>
      </c>
      <c r="G14" s="111">
        <v>196184</v>
      </c>
      <c r="H14" s="111">
        <v>136869</v>
      </c>
      <c r="I14" s="111">
        <v>69711</v>
      </c>
      <c r="J14" s="111">
        <v>43231</v>
      </c>
      <c r="K14" s="111">
        <v>35234</v>
      </c>
      <c r="L14" s="111">
        <v>65555</v>
      </c>
      <c r="M14" s="111">
        <v>195546</v>
      </c>
      <c r="N14" s="111">
        <v>146999</v>
      </c>
      <c r="O14" s="133">
        <f t="shared" si="1"/>
        <v>1593081</v>
      </c>
      <c r="P14" s="134">
        <f t="shared" si="0"/>
        <v>0.11000992455898828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J15">SUM(C6:C14)</f>
        <v>1191126</v>
      </c>
      <c r="D15" s="114">
        <f t="shared" si="2"/>
        <v>1094895</v>
      </c>
      <c r="E15" s="114">
        <f t="shared" si="2"/>
        <v>1076015</v>
      </c>
      <c r="F15" s="114">
        <f t="shared" si="2"/>
        <v>1059271</v>
      </c>
      <c r="G15" s="114">
        <f t="shared" si="2"/>
        <v>1220987</v>
      </c>
      <c r="H15" s="114">
        <f t="shared" si="2"/>
        <v>853137</v>
      </c>
      <c r="I15" s="114">
        <f t="shared" si="2"/>
        <v>574988</v>
      </c>
      <c r="J15" s="114">
        <f t="shared" si="2"/>
        <v>445224</v>
      </c>
      <c r="K15" s="114">
        <f>SUM(K6:K14)</f>
        <v>390101</v>
      </c>
      <c r="L15" s="114">
        <f>SUM(L6:L14)</f>
        <v>609986</v>
      </c>
      <c r="M15" s="114">
        <f>SUM(M6:M14)</f>
        <v>1136533</v>
      </c>
      <c r="N15" s="114">
        <f>SUM(N6:N14)</f>
        <v>1207430</v>
      </c>
      <c r="O15" s="137">
        <f>SUM(O6:O14)</f>
        <v>10859693</v>
      </c>
      <c r="P15" s="138">
        <f t="shared" si="0"/>
        <v>0.7499141648565096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35" ht="15">
      <c r="A16" s="123"/>
      <c r="B16" s="108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33"/>
      <c r="P16" s="140"/>
      <c r="Q16" s="135"/>
      <c r="R16" s="54"/>
      <c r="S16" s="54"/>
      <c r="T16" s="9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123"/>
      <c r="B17" s="108" t="s">
        <v>27</v>
      </c>
      <c r="C17" s="110">
        <v>483444</v>
      </c>
      <c r="D17" s="111">
        <v>284961</v>
      </c>
      <c r="E17" s="111">
        <v>396743</v>
      </c>
      <c r="F17" s="111">
        <v>467603</v>
      </c>
      <c r="G17" s="111">
        <v>547892</v>
      </c>
      <c r="H17" s="111">
        <v>281471</v>
      </c>
      <c r="I17" s="111">
        <v>103984</v>
      </c>
      <c r="J17" s="111">
        <v>82930</v>
      </c>
      <c r="K17" s="111">
        <v>61661</v>
      </c>
      <c r="L17" s="111">
        <v>126021</v>
      </c>
      <c r="M17" s="111">
        <v>365117</v>
      </c>
      <c r="N17" s="111">
        <v>419728</v>
      </c>
      <c r="O17" s="133">
        <f>SUM(C17:N17)</f>
        <v>3621555</v>
      </c>
      <c r="P17" s="134">
        <f>+O17/$O$19</f>
        <v>0.2500858351434904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N19">+C15+C17</f>
        <v>1674570</v>
      </c>
      <c r="D19" s="148">
        <f t="shared" si="3"/>
        <v>1379856</v>
      </c>
      <c r="E19" s="148">
        <f t="shared" si="3"/>
        <v>1472758</v>
      </c>
      <c r="F19" s="148">
        <f t="shared" si="3"/>
        <v>1526874</v>
      </c>
      <c r="G19" s="148">
        <f t="shared" si="3"/>
        <v>1768879</v>
      </c>
      <c r="H19" s="148">
        <f t="shared" si="3"/>
        <v>1134608</v>
      </c>
      <c r="I19" s="148">
        <f t="shared" si="3"/>
        <v>678972</v>
      </c>
      <c r="J19" s="148">
        <f t="shared" si="3"/>
        <v>528154</v>
      </c>
      <c r="K19" s="148">
        <f t="shared" si="3"/>
        <v>451762</v>
      </c>
      <c r="L19" s="148">
        <f t="shared" si="3"/>
        <v>736007</v>
      </c>
      <c r="M19" s="148">
        <f t="shared" si="3"/>
        <v>1501650</v>
      </c>
      <c r="N19" s="148">
        <f t="shared" si="3"/>
        <v>1627158</v>
      </c>
      <c r="O19" s="147">
        <f>+O15+O17</f>
        <v>14481248</v>
      </c>
      <c r="P19" s="149">
        <f>+P15+P17</f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47">
        <f>C19</f>
        <v>1674570</v>
      </c>
      <c r="D20" s="151">
        <f>C20+D19</f>
        <v>3054426</v>
      </c>
      <c r="E20" s="151">
        <f>D20+E19</f>
        <v>4527184</v>
      </c>
      <c r="F20" s="151">
        <f>E20+F19</f>
        <v>6054058</v>
      </c>
      <c r="G20" s="151">
        <f>F20+G19</f>
        <v>7822937</v>
      </c>
      <c r="H20" s="151">
        <f>G20+H19</f>
        <v>8957545</v>
      </c>
      <c r="I20" s="151">
        <f aca="true" t="shared" si="4" ref="I20:N20">H20+I19</f>
        <v>9636517</v>
      </c>
      <c r="J20" s="151">
        <f t="shared" si="4"/>
        <v>10164671</v>
      </c>
      <c r="K20" s="151">
        <f t="shared" si="4"/>
        <v>10616433</v>
      </c>
      <c r="L20" s="151">
        <f t="shared" si="4"/>
        <v>11352440</v>
      </c>
      <c r="M20" s="151">
        <f t="shared" si="4"/>
        <v>12854090</v>
      </c>
      <c r="N20" s="151">
        <f t="shared" si="4"/>
        <v>14481248</v>
      </c>
      <c r="O20" s="152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68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2000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 t="s">
        <v>31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>
        <f aca="true" t="shared" si="5" ref="O30:O42">SUM(C30:N30)</f>
        <v>0</v>
      </c>
      <c r="P30" s="134">
        <f aca="true" t="shared" si="6" ref="P30:P40">+O30/$O$45</f>
        <v>0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800918</v>
      </c>
      <c r="D31" s="111">
        <v>785494</v>
      </c>
      <c r="E31" s="111">
        <v>675438</v>
      </c>
      <c r="F31" s="111">
        <v>722356</v>
      </c>
      <c r="G31" s="111">
        <v>775194</v>
      </c>
      <c r="H31" s="111">
        <v>529588</v>
      </c>
      <c r="I31" s="111">
        <v>381591</v>
      </c>
      <c r="J31" s="111">
        <v>249217</v>
      </c>
      <c r="K31" s="111">
        <v>211249</v>
      </c>
      <c r="L31" s="111">
        <v>556211</v>
      </c>
      <c r="M31" s="111">
        <v>917548</v>
      </c>
      <c r="N31" s="111">
        <v>762431</v>
      </c>
      <c r="O31" s="133">
        <f t="shared" si="5"/>
        <v>7367235</v>
      </c>
      <c r="P31" s="134">
        <f t="shared" si="6"/>
        <v>0.11761856677335657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413367</v>
      </c>
      <c r="D32" s="111">
        <v>365436</v>
      </c>
      <c r="E32" s="111">
        <v>321693</v>
      </c>
      <c r="F32" s="111">
        <v>393131</v>
      </c>
      <c r="G32" s="111">
        <v>419996</v>
      </c>
      <c r="H32" s="111">
        <v>238398</v>
      </c>
      <c r="I32" s="111">
        <v>123757</v>
      </c>
      <c r="J32" s="111">
        <v>41733</v>
      </c>
      <c r="K32" s="111">
        <v>16806</v>
      </c>
      <c r="L32" s="111">
        <v>45143</v>
      </c>
      <c r="M32" s="111">
        <v>262606</v>
      </c>
      <c r="N32" s="111">
        <v>643830</v>
      </c>
      <c r="O32" s="133">
        <f t="shared" si="5"/>
        <v>3285896</v>
      </c>
      <c r="P32" s="134">
        <f t="shared" si="6"/>
        <v>0.05245962400904888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525722</v>
      </c>
      <c r="D33" s="111">
        <v>502384</v>
      </c>
      <c r="E33" s="111">
        <v>526715</v>
      </c>
      <c r="F33" s="111">
        <v>514073</v>
      </c>
      <c r="G33" s="111">
        <v>590476</v>
      </c>
      <c r="H33" s="111">
        <v>386931</v>
      </c>
      <c r="I33" s="111">
        <v>238342</v>
      </c>
      <c r="J33" s="111">
        <v>155249</v>
      </c>
      <c r="K33" s="111">
        <v>116610</v>
      </c>
      <c r="L33" s="111">
        <v>226147</v>
      </c>
      <c r="M33" s="111">
        <v>512659</v>
      </c>
      <c r="N33" s="111">
        <v>563648</v>
      </c>
      <c r="O33" s="133">
        <f t="shared" si="5"/>
        <v>4858956</v>
      </c>
      <c r="P33" s="134">
        <f t="shared" si="6"/>
        <v>0.07757366783261313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f>565486+126814</f>
        <v>692300</v>
      </c>
      <c r="D34" s="111">
        <f>378637+130896</f>
        <v>509533</v>
      </c>
      <c r="E34" s="111">
        <f>441805+123539</f>
        <v>565344</v>
      </c>
      <c r="F34" s="111">
        <f>394650+106207</f>
        <v>500857</v>
      </c>
      <c r="G34" s="111">
        <f>436645+132461</f>
        <v>569106</v>
      </c>
      <c r="H34" s="111">
        <f>241105+104877</f>
        <v>345982</v>
      </c>
      <c r="I34" s="111">
        <f>113043+52796</f>
        <v>165839</v>
      </c>
      <c r="J34" s="111">
        <f>82526+47050</f>
        <v>129576</v>
      </c>
      <c r="K34" s="111">
        <f>58377+35400</f>
        <v>93777</v>
      </c>
      <c r="L34" s="111">
        <f>126026+77792</f>
        <v>203818</v>
      </c>
      <c r="M34" s="111">
        <f>219189+139601</f>
        <v>358790</v>
      </c>
      <c r="N34" s="111">
        <f>96620+158262</f>
        <v>254882</v>
      </c>
      <c r="O34" s="133">
        <f t="shared" si="5"/>
        <v>4389804</v>
      </c>
      <c r="P34" s="134">
        <f t="shared" si="6"/>
        <v>0.07008361412333769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908852</v>
      </c>
      <c r="D35" s="111">
        <v>750899</v>
      </c>
      <c r="E35" s="111">
        <v>799634</v>
      </c>
      <c r="F35" s="111">
        <v>913841</v>
      </c>
      <c r="G35" s="111">
        <v>1025331</v>
      </c>
      <c r="H35" s="111">
        <v>719156</v>
      </c>
      <c r="I35" s="111">
        <v>544608</v>
      </c>
      <c r="J35" s="111">
        <v>496097</v>
      </c>
      <c r="K35" s="111">
        <v>466057</v>
      </c>
      <c r="L35" s="111">
        <v>681470</v>
      </c>
      <c r="M35" s="111">
        <v>1030324</v>
      </c>
      <c r="N35" s="111">
        <v>902385</v>
      </c>
      <c r="O35" s="133">
        <f t="shared" si="5"/>
        <v>9238654</v>
      </c>
      <c r="P35" s="134">
        <f t="shared" si="6"/>
        <v>0.1474959387605985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287372</v>
      </c>
      <c r="D36" s="111">
        <v>298883</v>
      </c>
      <c r="E36" s="111">
        <v>248273</v>
      </c>
      <c r="F36" s="111">
        <v>196366</v>
      </c>
      <c r="G36" s="111">
        <v>329334</v>
      </c>
      <c r="H36" s="111">
        <v>234570</v>
      </c>
      <c r="I36" s="111">
        <v>107993</v>
      </c>
      <c r="J36" s="111">
        <v>90528</v>
      </c>
      <c r="K36" s="111">
        <v>110390</v>
      </c>
      <c r="L36" s="111">
        <v>153717</v>
      </c>
      <c r="M36" s="111">
        <v>262157</v>
      </c>
      <c r="N36" s="111">
        <v>281766</v>
      </c>
      <c r="O36" s="133">
        <f t="shared" si="5"/>
        <v>2601349</v>
      </c>
      <c r="P36" s="134">
        <f t="shared" si="6"/>
        <v>0.04153076982847762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544321</v>
      </c>
      <c r="D37" s="111">
        <v>388223</v>
      </c>
      <c r="E37" s="111">
        <v>508247</v>
      </c>
      <c r="F37" s="111">
        <v>465955</v>
      </c>
      <c r="G37" s="111">
        <v>468206</v>
      </c>
      <c r="H37" s="111">
        <v>286374</v>
      </c>
      <c r="I37" s="111">
        <v>231319</v>
      </c>
      <c r="J37" s="111">
        <v>189751</v>
      </c>
      <c r="K37" s="111">
        <v>216608</v>
      </c>
      <c r="L37" s="111">
        <v>228622</v>
      </c>
      <c r="M37" s="111">
        <v>536103</v>
      </c>
      <c r="N37" s="111">
        <v>410362</v>
      </c>
      <c r="O37" s="133">
        <f t="shared" si="5"/>
        <v>4474091</v>
      </c>
      <c r="P37" s="134">
        <f t="shared" si="6"/>
        <v>0.07142926362924132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432598</v>
      </c>
      <c r="D38" s="111">
        <v>490484</v>
      </c>
      <c r="E38" s="111">
        <v>507229</v>
      </c>
      <c r="F38" s="111">
        <v>433470</v>
      </c>
      <c r="G38" s="111">
        <v>478896</v>
      </c>
      <c r="H38" s="111">
        <v>340765</v>
      </c>
      <c r="I38" s="111">
        <v>273966</v>
      </c>
      <c r="J38" s="111">
        <v>265946</v>
      </c>
      <c r="K38" s="111">
        <v>215940</v>
      </c>
      <c r="L38" s="111">
        <v>248685</v>
      </c>
      <c r="M38" s="111">
        <v>359740</v>
      </c>
      <c r="N38" s="111">
        <v>686082</v>
      </c>
      <c r="O38" s="133">
        <f t="shared" si="5"/>
        <v>4733801</v>
      </c>
      <c r="P38" s="134">
        <f t="shared" si="6"/>
        <v>0.07557555704552416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861758</v>
      </c>
      <c r="D39" s="111">
        <v>804439</v>
      </c>
      <c r="E39" s="111">
        <v>816699</v>
      </c>
      <c r="F39" s="111">
        <v>755194</v>
      </c>
      <c r="G39" s="111">
        <v>905870</v>
      </c>
      <c r="H39" s="111">
        <v>527932</v>
      </c>
      <c r="I39" s="111">
        <v>281076</v>
      </c>
      <c r="J39" s="111">
        <v>170733</v>
      </c>
      <c r="K39" s="111">
        <v>136634</v>
      </c>
      <c r="L39" s="111">
        <v>298615</v>
      </c>
      <c r="M39" s="111">
        <v>884170</v>
      </c>
      <c r="N39" s="111">
        <v>688865</v>
      </c>
      <c r="O39" s="133">
        <f>SUM(C39:N39)</f>
        <v>7131985</v>
      </c>
      <c r="P39" s="134">
        <f t="shared" si="6"/>
        <v>0.11386277944833814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5467208</v>
      </c>
      <c r="D40" s="164">
        <f t="shared" si="7"/>
        <v>4895775</v>
      </c>
      <c r="E40" s="164">
        <f t="shared" si="7"/>
        <v>4969272</v>
      </c>
      <c r="F40" s="164">
        <f t="shared" si="7"/>
        <v>4895243</v>
      </c>
      <c r="G40" s="164">
        <f t="shared" si="7"/>
        <v>5562409</v>
      </c>
      <c r="H40" s="164">
        <f t="shared" si="7"/>
        <v>3609696</v>
      </c>
      <c r="I40" s="164">
        <f t="shared" si="7"/>
        <v>2348491</v>
      </c>
      <c r="J40" s="164">
        <f t="shared" si="7"/>
        <v>1788830</v>
      </c>
      <c r="K40" s="164">
        <f t="shared" si="7"/>
        <v>1584071</v>
      </c>
      <c r="L40" s="164">
        <f t="shared" si="7"/>
        <v>2642428</v>
      </c>
      <c r="M40" s="164">
        <f t="shared" si="7"/>
        <v>5124097</v>
      </c>
      <c r="N40" s="164">
        <f t="shared" si="7"/>
        <v>5194251</v>
      </c>
      <c r="O40" s="133">
        <f t="shared" si="7"/>
        <v>48081771</v>
      </c>
      <c r="P40" s="134">
        <f t="shared" si="6"/>
        <v>0.767629781450536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483444</v>
      </c>
      <c r="D42" s="110">
        <v>284961</v>
      </c>
      <c r="E42" s="110">
        <v>396743</v>
      </c>
      <c r="F42" s="110">
        <v>467603</v>
      </c>
      <c r="G42" s="110">
        <v>547892</v>
      </c>
      <c r="H42" s="110">
        <v>281471</v>
      </c>
      <c r="I42" s="166">
        <v>103984</v>
      </c>
      <c r="J42" s="166">
        <v>82930</v>
      </c>
      <c r="K42" s="166">
        <v>61661</v>
      </c>
      <c r="L42" s="166">
        <v>126021</v>
      </c>
      <c r="M42" s="166">
        <v>365117</v>
      </c>
      <c r="N42" s="166">
        <v>419728</v>
      </c>
      <c r="O42" s="133">
        <f t="shared" si="5"/>
        <v>3621555</v>
      </c>
      <c r="P42" s="134">
        <f>+O42/$O$45</f>
        <v>0.0578184500142704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1200076</v>
      </c>
      <c r="D43" s="111">
        <v>841669</v>
      </c>
      <c r="E43" s="111">
        <v>1157135</v>
      </c>
      <c r="F43" s="111">
        <v>1336283</v>
      </c>
      <c r="G43" s="111">
        <v>1511956</v>
      </c>
      <c r="H43" s="111">
        <v>983844</v>
      </c>
      <c r="I43" s="111">
        <v>413328</v>
      </c>
      <c r="J43" s="111">
        <v>287618</v>
      </c>
      <c r="K43" s="111">
        <v>163723</v>
      </c>
      <c r="L43" s="111">
        <v>429718</v>
      </c>
      <c r="M43" s="111">
        <v>1357260</v>
      </c>
      <c r="N43" s="111">
        <v>1250731</v>
      </c>
      <c r="O43" s="133">
        <f>SUM(C43:N43)</f>
        <v>10933341</v>
      </c>
      <c r="P43" s="134">
        <f>+O43/$O$45</f>
        <v>0.1745517685351936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>+C40+C42+C43</f>
        <v>7150728</v>
      </c>
      <c r="D45" s="148">
        <f aca="true" t="shared" si="8" ref="D45:O45">+D40+D42+D43</f>
        <v>6022405</v>
      </c>
      <c r="E45" s="148">
        <f t="shared" si="8"/>
        <v>6523150</v>
      </c>
      <c r="F45" s="148">
        <f t="shared" si="8"/>
        <v>6699129</v>
      </c>
      <c r="G45" s="148">
        <f t="shared" si="8"/>
        <v>7622257</v>
      </c>
      <c r="H45" s="148">
        <f t="shared" si="8"/>
        <v>4875011</v>
      </c>
      <c r="I45" s="148">
        <f t="shared" si="8"/>
        <v>2865803</v>
      </c>
      <c r="J45" s="148">
        <f t="shared" si="8"/>
        <v>2159378</v>
      </c>
      <c r="K45" s="148">
        <f t="shared" si="8"/>
        <v>1809455</v>
      </c>
      <c r="L45" s="148">
        <f t="shared" si="8"/>
        <v>3198167</v>
      </c>
      <c r="M45" s="148">
        <f t="shared" si="8"/>
        <v>6846474</v>
      </c>
      <c r="N45" s="148">
        <f t="shared" si="8"/>
        <v>6864710</v>
      </c>
      <c r="O45" s="147">
        <f t="shared" si="8"/>
        <v>62636667</v>
      </c>
      <c r="P45" s="149">
        <f>+P40+P42+P43</f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2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2" t="s">
        <v>30</v>
      </c>
      <c r="Q48" s="12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>
      <c r="A51" s="12" t="s">
        <v>46</v>
      </c>
      <c r="B51" s="12"/>
      <c r="C51" s="16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2"/>
      <c r="P51" s="5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"/>
      <c r="B52" s="12"/>
      <c r="C52" s="24" t="s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6.5" thickBot="1">
      <c r="A53" s="12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1998</v>
      </c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6.5" thickBot="1" thickTop="1">
      <c r="A54" s="12"/>
      <c r="B54" s="30"/>
      <c r="C54" s="32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4" t="s">
        <v>11</v>
      </c>
      <c r="L54" s="33" t="s">
        <v>12</v>
      </c>
      <c r="M54" s="33" t="s">
        <v>13</v>
      </c>
      <c r="N54" s="33" t="s">
        <v>14</v>
      </c>
      <c r="O54" s="35" t="s">
        <v>15</v>
      </c>
      <c r="P54" s="17" t="s">
        <v>16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thickTop="1">
      <c r="A55" s="12"/>
      <c r="B55" s="13"/>
      <c r="C55" s="6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6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"/>
      <c r="B56" s="62" t="s">
        <v>42</v>
      </c>
      <c r="C56" s="3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"/>
      <c r="B57" s="36" t="s">
        <v>33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">
        <f aca="true" t="shared" si="9" ref="O57:O70">SUM(C57:N57)</f>
        <v>0</v>
      </c>
      <c r="P57" s="5" t="e">
        <f>+O57/$O$81</f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"/>
      <c r="B58" s="62" t="s">
        <v>34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">
        <f t="shared" si="9"/>
        <v>0</v>
      </c>
      <c r="P58" s="5" t="e">
        <f>+O58/$O$82</f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"/>
      <c r="B59" s="36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4"/>
      <c r="P59" s="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"/>
      <c r="B60" s="36" t="s">
        <v>43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4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"/>
      <c r="B61" s="36" t="s">
        <v>33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">
        <f t="shared" si="9"/>
        <v>0</v>
      </c>
      <c r="P61" s="5" t="e">
        <f>+O61/$O$81</f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62" t="s">
        <v>34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">
        <f t="shared" si="9"/>
        <v>0</v>
      </c>
      <c r="P62" s="5" t="e">
        <f>+O62/$O$82</f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"/>
      <c r="B63" s="3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"/>
      <c r="B64" s="62" t="s">
        <v>32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"/>
      <c r="P64" s="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">
      <c r="A65" s="12"/>
      <c r="B65" s="36" t="s">
        <v>33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">
        <f t="shared" si="9"/>
        <v>0</v>
      </c>
      <c r="P65" s="5" t="e">
        <f>+O65/$O$81</f>
        <v>#DIV/0!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34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">
        <f t="shared" si="9"/>
        <v>0</v>
      </c>
      <c r="P66" s="5" t="e">
        <f>+O66/$O$82</f>
        <v>#DIV/0!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44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/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 t="s">
        <v>33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>
        <f t="shared" si="9"/>
        <v>0</v>
      </c>
      <c r="P69" s="5" t="e">
        <f>+O69/$O$81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34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>
        <f t="shared" si="9"/>
        <v>0</v>
      </c>
      <c r="P70" s="5" t="e">
        <f>+O70/$O$82</f>
        <v>#DIV/0!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>
      <c r="A72" s="12"/>
      <c r="B72" s="66" t="s">
        <v>28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/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>
      <c r="A73" s="12"/>
      <c r="B73" s="67" t="s">
        <v>33</v>
      </c>
      <c r="C73" s="68">
        <f>+C57+C61+C65+C69</f>
        <v>0</v>
      </c>
      <c r="D73" s="69">
        <f aca="true" t="shared" si="10" ref="D73:N74">+D57+D61+D65+D69</f>
        <v>0</v>
      </c>
      <c r="E73" s="69">
        <f t="shared" si="10"/>
        <v>0</v>
      </c>
      <c r="F73" s="69">
        <f t="shared" si="10"/>
        <v>0</v>
      </c>
      <c r="G73" s="69">
        <f t="shared" si="10"/>
        <v>0</v>
      </c>
      <c r="H73" s="69">
        <f t="shared" si="10"/>
        <v>0</v>
      </c>
      <c r="I73" s="69">
        <f t="shared" si="10"/>
        <v>0</v>
      </c>
      <c r="J73" s="69">
        <f t="shared" si="10"/>
        <v>0</v>
      </c>
      <c r="K73" s="69">
        <f t="shared" si="10"/>
        <v>0</v>
      </c>
      <c r="L73" s="69">
        <f t="shared" si="10"/>
        <v>0</v>
      </c>
      <c r="M73" s="69">
        <f t="shared" si="10"/>
        <v>0</v>
      </c>
      <c r="N73" s="69">
        <f t="shared" si="10"/>
        <v>0</v>
      </c>
      <c r="O73" s="70">
        <f>SUM(C73:N73)</f>
        <v>0</v>
      </c>
      <c r="P73" s="71" t="e">
        <f>+P57+P61+P65+P69</f>
        <v>#DIV/0!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>
      <c r="A74" s="12"/>
      <c r="B74" s="43" t="s">
        <v>34</v>
      </c>
      <c r="C74" s="68">
        <f>+C58+C62+C66+C70</f>
        <v>0</v>
      </c>
      <c r="D74" s="69">
        <f t="shared" si="10"/>
        <v>0</v>
      </c>
      <c r="E74" s="69">
        <f t="shared" si="10"/>
        <v>0</v>
      </c>
      <c r="F74" s="69">
        <f t="shared" si="10"/>
        <v>0</v>
      </c>
      <c r="G74" s="69">
        <f t="shared" si="10"/>
        <v>0</v>
      </c>
      <c r="H74" s="69">
        <f t="shared" si="10"/>
        <v>0</v>
      </c>
      <c r="I74" s="69">
        <f t="shared" si="10"/>
        <v>0</v>
      </c>
      <c r="J74" s="69">
        <f t="shared" si="10"/>
        <v>0</v>
      </c>
      <c r="K74" s="69">
        <f t="shared" si="10"/>
        <v>0</v>
      </c>
      <c r="L74" s="69">
        <f t="shared" si="10"/>
        <v>0</v>
      </c>
      <c r="M74" s="69">
        <f t="shared" si="10"/>
        <v>0</v>
      </c>
      <c r="N74" s="69">
        <f t="shared" si="10"/>
        <v>0</v>
      </c>
      <c r="O74" s="70">
        <f>SUM(C74:N74)</f>
        <v>0</v>
      </c>
      <c r="P74" s="71" t="e">
        <f>+P58+P62+P66+P70</f>
        <v>#DIV/0!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>
      <c r="A75" s="12"/>
      <c r="B75" s="7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7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5" t="s">
        <v>27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/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 t="s">
        <v>33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>
        <f>SUM(C77:N77)</f>
        <v>0</v>
      </c>
      <c r="P77" s="5" t="e">
        <f>+O77/$O$81</f>
        <v>#DIV/0!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>
        <f>SUM(C78:N78)</f>
        <v>0</v>
      </c>
      <c r="P78" s="5" t="e">
        <f>+O78/$O$82</f>
        <v>#DIV/0!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6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>
      <c r="A80" s="12"/>
      <c r="B80" s="43" t="s">
        <v>45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/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>
      <c r="A81" s="12"/>
      <c r="B81" s="67" t="s">
        <v>33</v>
      </c>
      <c r="C81" s="68">
        <f aca="true" t="shared" si="11" ref="C81:N82">+C73+C77</f>
        <v>0</v>
      </c>
      <c r="D81" s="69">
        <f t="shared" si="11"/>
        <v>0</v>
      </c>
      <c r="E81" s="69">
        <f t="shared" si="11"/>
        <v>0</v>
      </c>
      <c r="F81" s="69">
        <f t="shared" si="11"/>
        <v>0</v>
      </c>
      <c r="G81" s="69">
        <f t="shared" si="11"/>
        <v>0</v>
      </c>
      <c r="H81" s="69">
        <f t="shared" si="11"/>
        <v>0</v>
      </c>
      <c r="I81" s="69">
        <f t="shared" si="11"/>
        <v>0</v>
      </c>
      <c r="J81" s="69">
        <f t="shared" si="11"/>
        <v>0</v>
      </c>
      <c r="K81" s="69">
        <f t="shared" si="11"/>
        <v>0</v>
      </c>
      <c r="L81" s="69">
        <f t="shared" si="11"/>
        <v>0</v>
      </c>
      <c r="M81" s="69">
        <f t="shared" si="11"/>
        <v>0</v>
      </c>
      <c r="N81" s="69">
        <f t="shared" si="11"/>
        <v>0</v>
      </c>
      <c r="O81" s="68">
        <f>+O73+O77</f>
        <v>0</v>
      </c>
      <c r="P81" s="71" t="e">
        <f>+P73+P77</f>
        <v>#DIV/0!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43" t="s">
        <v>34</v>
      </c>
      <c r="C82" s="68">
        <f t="shared" si="11"/>
        <v>0</v>
      </c>
      <c r="D82" s="69">
        <f t="shared" si="11"/>
        <v>0</v>
      </c>
      <c r="E82" s="69">
        <f t="shared" si="11"/>
        <v>0</v>
      </c>
      <c r="F82" s="69">
        <f t="shared" si="11"/>
        <v>0</v>
      </c>
      <c r="G82" s="69">
        <f t="shared" si="11"/>
        <v>0</v>
      </c>
      <c r="H82" s="69">
        <f t="shared" si="11"/>
        <v>0</v>
      </c>
      <c r="I82" s="69">
        <f t="shared" si="11"/>
        <v>0</v>
      </c>
      <c r="J82" s="69">
        <f t="shared" si="11"/>
        <v>0</v>
      </c>
      <c r="K82" s="69">
        <f t="shared" si="11"/>
        <v>0</v>
      </c>
      <c r="L82" s="69">
        <f t="shared" si="11"/>
        <v>0</v>
      </c>
      <c r="M82" s="69">
        <f t="shared" si="11"/>
        <v>0</v>
      </c>
      <c r="N82" s="69">
        <f t="shared" si="11"/>
        <v>0</v>
      </c>
      <c r="O82" s="68">
        <f>+O74+O78</f>
        <v>0</v>
      </c>
      <c r="P82" s="71" t="e">
        <f>+P74+P78</f>
        <v>#DIV/0!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thickBot="1">
      <c r="A83" s="12"/>
      <c r="B83" s="3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21"/>
      <c r="P83" s="2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thickTop="1">
      <c r="A84" s="12"/>
      <c r="B84" s="1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5" t="s">
        <v>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5" t="s">
        <v>30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sheetProtection/>
  <printOptions/>
  <pageMargins left="0" right="0" top="0.75" bottom="0.75" header="0.5" footer="0.5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85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0.9921875" style="0" customWidth="1"/>
    <col min="2" max="2" width="18.77734375" style="0" customWidth="1"/>
    <col min="3" max="14" width="11.5546875" style="0" customWidth="1"/>
    <col min="15" max="15" width="12.99609375" style="0" customWidth="1"/>
    <col min="16" max="16" width="8.88671875" style="0" customWidth="1"/>
  </cols>
  <sheetData>
    <row r="1" spans="1:35" ht="15">
      <c r="A1" s="123"/>
      <c r="B1" s="123"/>
      <c r="C1" s="124" t="s">
        <v>64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1999</v>
      </c>
      <c r="P3" s="127"/>
      <c r="Q3" s="123"/>
      <c r="R3" s="12"/>
      <c r="S3" s="12"/>
      <c r="T3" s="9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141985</v>
      </c>
      <c r="D6" s="111">
        <v>138735</v>
      </c>
      <c r="E6" s="111">
        <v>132261</v>
      </c>
      <c r="F6" s="111">
        <v>125812</v>
      </c>
      <c r="G6" s="111">
        <v>123946</v>
      </c>
      <c r="H6" s="111">
        <v>126882</v>
      </c>
      <c r="I6" s="111">
        <v>83036</v>
      </c>
      <c r="J6" s="111">
        <v>62382</v>
      </c>
      <c r="K6" s="111">
        <v>86653</v>
      </c>
      <c r="L6" s="111">
        <v>111608</v>
      </c>
      <c r="M6" s="111">
        <v>163616</v>
      </c>
      <c r="N6" s="111">
        <v>171549</v>
      </c>
      <c r="O6" s="133">
        <f>SUM(C6:N6)</f>
        <v>1468465</v>
      </c>
      <c r="P6" s="134">
        <f aca="true" t="shared" si="0" ref="P6:P15">+O6/$O$19</f>
        <v>0.11322120581569169</v>
      </c>
      <c r="Q6" s="135"/>
      <c r="R6" s="54"/>
      <c r="S6" s="54"/>
      <c r="T6" s="96"/>
      <c r="U6" s="10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64143</v>
      </c>
      <c r="D7" s="111">
        <v>82576</v>
      </c>
      <c r="E7" s="111">
        <v>99326</v>
      </c>
      <c r="F7" s="111">
        <v>78013</v>
      </c>
      <c r="G7" s="111">
        <v>92707</v>
      </c>
      <c r="H7" s="111">
        <v>86767</v>
      </c>
      <c r="I7" s="111">
        <v>43606</v>
      </c>
      <c r="J7" s="111">
        <v>20284</v>
      </c>
      <c r="K7" s="111">
        <v>28154</v>
      </c>
      <c r="L7" s="111">
        <v>80540</v>
      </c>
      <c r="M7" s="111">
        <v>69387</v>
      </c>
      <c r="N7" s="111">
        <v>54711</v>
      </c>
      <c r="O7" s="133">
        <f aca="true" t="shared" si="1" ref="O7:O14">SUM(C7:N7)</f>
        <v>800214</v>
      </c>
      <c r="P7" s="134">
        <f t="shared" si="0"/>
        <v>0.061697891329107545</v>
      </c>
      <c r="Q7" s="135"/>
      <c r="R7" s="54"/>
      <c r="S7" s="54"/>
      <c r="T7" s="96"/>
      <c r="U7" s="10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102758</v>
      </c>
      <c r="D8" s="111">
        <v>106238</v>
      </c>
      <c r="E8" s="111">
        <v>95358</v>
      </c>
      <c r="F8" s="111">
        <v>122609</v>
      </c>
      <c r="G8" s="111">
        <v>120486</v>
      </c>
      <c r="H8" s="111">
        <v>100651</v>
      </c>
      <c r="I8" s="111">
        <v>65880</v>
      </c>
      <c r="J8" s="111">
        <v>58429</v>
      </c>
      <c r="K8" s="111">
        <v>74283</v>
      </c>
      <c r="L8" s="111">
        <v>114029</v>
      </c>
      <c r="M8" s="111">
        <v>142966</v>
      </c>
      <c r="N8" s="111">
        <v>91101</v>
      </c>
      <c r="O8" s="133">
        <f t="shared" si="1"/>
        <v>1194788</v>
      </c>
      <c r="P8" s="134">
        <f t="shared" si="0"/>
        <v>0.09212023306930614</v>
      </c>
      <c r="Q8" s="135"/>
      <c r="R8" s="54"/>
      <c r="S8" s="54"/>
      <c r="T8" s="96"/>
      <c r="U8" s="10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97915</v>
      </c>
      <c r="D9" s="111">
        <v>106195</v>
      </c>
      <c r="E9" s="111">
        <v>104886</v>
      </c>
      <c r="F9" s="111">
        <v>124049</v>
      </c>
      <c r="G9" s="111">
        <v>122818</v>
      </c>
      <c r="H9" s="111">
        <v>91584</v>
      </c>
      <c r="I9" s="111">
        <v>54453</v>
      </c>
      <c r="J9" s="111">
        <v>42832</v>
      </c>
      <c r="K9" s="111">
        <v>63034</v>
      </c>
      <c r="L9" s="111">
        <v>124166</v>
      </c>
      <c r="M9" s="111">
        <v>119425</v>
      </c>
      <c r="N9" s="111">
        <v>122149</v>
      </c>
      <c r="O9" s="133">
        <f t="shared" si="1"/>
        <v>1173506</v>
      </c>
      <c r="P9" s="134">
        <f t="shared" si="0"/>
        <v>0.09047935385041461</v>
      </c>
      <c r="Q9" s="135"/>
      <c r="R9" s="54"/>
      <c r="S9" s="54"/>
      <c r="T9" s="96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224488</v>
      </c>
      <c r="D10" s="111">
        <v>201530</v>
      </c>
      <c r="E10" s="111">
        <v>156267</v>
      </c>
      <c r="F10" s="111">
        <v>227783</v>
      </c>
      <c r="G10" s="111">
        <v>188051</v>
      </c>
      <c r="H10" s="111">
        <v>134402</v>
      </c>
      <c r="I10" s="111">
        <v>66069</v>
      </c>
      <c r="J10" s="111">
        <v>76795</v>
      </c>
      <c r="K10" s="111">
        <v>112358</v>
      </c>
      <c r="L10" s="111">
        <v>217749</v>
      </c>
      <c r="M10" s="111">
        <v>147824</v>
      </c>
      <c r="N10" s="111">
        <v>161512</v>
      </c>
      <c r="O10" s="133">
        <f t="shared" si="1"/>
        <v>1914828</v>
      </c>
      <c r="P10" s="134">
        <f t="shared" si="0"/>
        <v>0.14763656954006346</v>
      </c>
      <c r="Q10" s="135"/>
      <c r="R10" s="54"/>
      <c r="S10" s="54"/>
      <c r="T10" s="96"/>
      <c r="U10" s="10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28549</v>
      </c>
      <c r="D11" s="111">
        <v>16957</v>
      </c>
      <c r="E11" s="111">
        <v>28005</v>
      </c>
      <c r="F11" s="111">
        <v>31935</v>
      </c>
      <c r="G11" s="111">
        <v>44361</v>
      </c>
      <c r="H11" s="111">
        <v>47415</v>
      </c>
      <c r="I11" s="111">
        <v>25380</v>
      </c>
      <c r="J11" s="111">
        <v>23756</v>
      </c>
      <c r="K11" s="111">
        <v>31761</v>
      </c>
      <c r="L11" s="111">
        <v>61478</v>
      </c>
      <c r="M11" s="111">
        <v>78046</v>
      </c>
      <c r="N11" s="111">
        <v>43083</v>
      </c>
      <c r="O11" s="133">
        <f t="shared" si="1"/>
        <v>460726</v>
      </c>
      <c r="P11" s="134">
        <f t="shared" si="0"/>
        <v>0.03552277600803585</v>
      </c>
      <c r="Q11" s="135"/>
      <c r="R11" s="54"/>
      <c r="S11" s="54"/>
      <c r="T11" s="96"/>
      <c r="U11" s="1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64832</v>
      </c>
      <c r="D12" s="111">
        <v>88040</v>
      </c>
      <c r="E12" s="111">
        <v>94855</v>
      </c>
      <c r="F12" s="111">
        <v>88387</v>
      </c>
      <c r="G12" s="111">
        <v>100675</v>
      </c>
      <c r="H12" s="111">
        <v>94614</v>
      </c>
      <c r="I12" s="111">
        <v>59264</v>
      </c>
      <c r="J12" s="111">
        <v>66561</v>
      </c>
      <c r="K12" s="111">
        <v>80476</v>
      </c>
      <c r="L12" s="111">
        <v>107384</v>
      </c>
      <c r="M12" s="111">
        <v>94254</v>
      </c>
      <c r="N12" s="111">
        <v>101080</v>
      </c>
      <c r="O12" s="133">
        <f t="shared" si="1"/>
        <v>1040422</v>
      </c>
      <c r="P12" s="134">
        <f t="shared" si="0"/>
        <v>0.08021834595797216</v>
      </c>
      <c r="Q12" s="135"/>
      <c r="R12" s="54"/>
      <c r="S12" s="54"/>
      <c r="T12" s="96"/>
      <c r="U12" s="10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89916</v>
      </c>
      <c r="D13" s="111">
        <v>82469</v>
      </c>
      <c r="E13" s="111">
        <v>84224</v>
      </c>
      <c r="F13" s="111">
        <v>82904</v>
      </c>
      <c r="G13" s="111">
        <v>86262</v>
      </c>
      <c r="H13" s="111">
        <v>85683</v>
      </c>
      <c r="I13" s="111">
        <v>79021</v>
      </c>
      <c r="J13" s="111">
        <v>78395</v>
      </c>
      <c r="K13" s="111">
        <v>107717</v>
      </c>
      <c r="L13" s="111">
        <v>145733</v>
      </c>
      <c r="M13" s="111">
        <v>144338</v>
      </c>
      <c r="N13" s="111">
        <v>102834</v>
      </c>
      <c r="O13" s="133">
        <f t="shared" si="1"/>
        <v>1169496</v>
      </c>
      <c r="P13" s="134">
        <f t="shared" si="0"/>
        <v>0.09017017587523582</v>
      </c>
      <c r="Q13" s="135"/>
      <c r="R13" s="54"/>
      <c r="S13" s="54"/>
      <c r="T13" s="96"/>
      <c r="U13" s="10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150002</v>
      </c>
      <c r="D14" s="111">
        <v>141357</v>
      </c>
      <c r="E14" s="111">
        <v>152878</v>
      </c>
      <c r="F14" s="111">
        <v>157345</v>
      </c>
      <c r="G14" s="111">
        <v>164596</v>
      </c>
      <c r="H14" s="111">
        <v>128276</v>
      </c>
      <c r="I14" s="111">
        <v>65255</v>
      </c>
      <c r="J14" s="111">
        <v>29215</v>
      </c>
      <c r="K14" s="111">
        <v>60441</v>
      </c>
      <c r="L14" s="111">
        <v>150009</v>
      </c>
      <c r="M14" s="111">
        <v>130749</v>
      </c>
      <c r="N14" s="111">
        <v>155496</v>
      </c>
      <c r="O14" s="133">
        <f t="shared" si="1"/>
        <v>1485619</v>
      </c>
      <c r="P14" s="134">
        <f t="shared" si="0"/>
        <v>0.11454380905414978</v>
      </c>
      <c r="Q14" s="135"/>
      <c r="R14" s="54"/>
      <c r="S14" s="54"/>
      <c r="T14" s="96"/>
      <c r="U14" s="10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2" ref="C15:K15">SUM(C6:C14)</f>
        <v>964588</v>
      </c>
      <c r="D15" s="114">
        <f t="shared" si="2"/>
        <v>964097</v>
      </c>
      <c r="E15" s="114">
        <f t="shared" si="2"/>
        <v>948060</v>
      </c>
      <c r="F15" s="114">
        <f t="shared" si="2"/>
        <v>1038837</v>
      </c>
      <c r="G15" s="114">
        <f t="shared" si="2"/>
        <v>1043902</v>
      </c>
      <c r="H15" s="114">
        <f t="shared" si="2"/>
        <v>896274</v>
      </c>
      <c r="I15" s="114">
        <f t="shared" si="2"/>
        <v>541964</v>
      </c>
      <c r="J15" s="114">
        <f t="shared" si="2"/>
        <v>458649</v>
      </c>
      <c r="K15" s="114">
        <f t="shared" si="2"/>
        <v>644877</v>
      </c>
      <c r="L15" s="114">
        <f>SUM(L6:L14)</f>
        <v>1112696</v>
      </c>
      <c r="M15" s="114">
        <f>SUM(M6:M14)</f>
        <v>1090605</v>
      </c>
      <c r="N15" s="114">
        <f>SUM(N6:N14)</f>
        <v>1003515</v>
      </c>
      <c r="O15" s="137">
        <f>SUM(O6:O14)</f>
        <v>10708064</v>
      </c>
      <c r="P15" s="138">
        <f t="shared" si="0"/>
        <v>0.825610360499977</v>
      </c>
      <c r="Q15" s="139"/>
      <c r="R15" s="118"/>
      <c r="S15" s="118"/>
      <c r="T15" s="119"/>
      <c r="U15" s="120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35" ht="15">
      <c r="A16" s="123"/>
      <c r="B16" s="108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33"/>
      <c r="P16" s="140"/>
      <c r="Q16" s="135"/>
      <c r="R16" s="54"/>
      <c r="S16" s="54"/>
      <c r="T16" s="9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123"/>
      <c r="B17" s="108" t="s">
        <v>27</v>
      </c>
      <c r="C17" s="110">
        <v>153506</v>
      </c>
      <c r="D17" s="111">
        <v>147797</v>
      </c>
      <c r="E17" s="111">
        <v>158618</v>
      </c>
      <c r="F17" s="111">
        <v>302553</v>
      </c>
      <c r="G17" s="111">
        <v>288478</v>
      </c>
      <c r="H17" s="111">
        <v>188994</v>
      </c>
      <c r="I17" s="111">
        <v>84110</v>
      </c>
      <c r="J17" s="111">
        <v>68440</v>
      </c>
      <c r="K17" s="111">
        <v>89646</v>
      </c>
      <c r="L17" s="111">
        <v>241547</v>
      </c>
      <c r="M17" s="111">
        <v>218398</v>
      </c>
      <c r="N17" s="111">
        <v>319725</v>
      </c>
      <c r="O17" s="133">
        <f>SUM(C17:N17)</f>
        <v>2261812</v>
      </c>
      <c r="P17" s="134">
        <f>+O17/$O$19</f>
        <v>0.17438963950002298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/>
      <c r="U18" s="10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3" ref="C19:N19">+C15+C17</f>
        <v>1118094</v>
      </c>
      <c r="D19" s="148">
        <f t="shared" si="3"/>
        <v>1111894</v>
      </c>
      <c r="E19" s="148">
        <f t="shared" si="3"/>
        <v>1106678</v>
      </c>
      <c r="F19" s="148">
        <f t="shared" si="3"/>
        <v>1341390</v>
      </c>
      <c r="G19" s="148">
        <f t="shared" si="3"/>
        <v>1332380</v>
      </c>
      <c r="H19" s="148">
        <f t="shared" si="3"/>
        <v>1085268</v>
      </c>
      <c r="I19" s="148">
        <f t="shared" si="3"/>
        <v>626074</v>
      </c>
      <c r="J19" s="148">
        <f t="shared" si="3"/>
        <v>527089</v>
      </c>
      <c r="K19" s="148">
        <f t="shared" si="3"/>
        <v>734523</v>
      </c>
      <c r="L19" s="148">
        <f t="shared" si="3"/>
        <v>1354243</v>
      </c>
      <c r="M19" s="148">
        <f t="shared" si="3"/>
        <v>1309003</v>
      </c>
      <c r="N19" s="148">
        <f t="shared" si="3"/>
        <v>1323240</v>
      </c>
      <c r="O19" s="147">
        <f>+O15+O17</f>
        <v>12969876</v>
      </c>
      <c r="P19" s="149">
        <f>+P15+P17</f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47">
        <f>C19</f>
        <v>1118094</v>
      </c>
      <c r="D20" s="151">
        <f>C20+D19</f>
        <v>2229988</v>
      </c>
      <c r="E20" s="151">
        <f>D20+E19</f>
        <v>3336666</v>
      </c>
      <c r="F20" s="151">
        <f>E20+F19</f>
        <v>4678056</v>
      </c>
      <c r="G20" s="151">
        <f>F20+G19</f>
        <v>6010436</v>
      </c>
      <c r="H20" s="151">
        <f>G20+H19</f>
        <v>7095704</v>
      </c>
      <c r="I20" s="151">
        <f aca="true" t="shared" si="4" ref="I20:N20">H20+I19</f>
        <v>7721778</v>
      </c>
      <c r="J20" s="151">
        <f t="shared" si="4"/>
        <v>8248867</v>
      </c>
      <c r="K20" s="151">
        <f t="shared" si="4"/>
        <v>8983390</v>
      </c>
      <c r="L20" s="151">
        <f t="shared" si="4"/>
        <v>10337633</v>
      </c>
      <c r="M20" s="151">
        <f t="shared" si="4"/>
        <v>11646636</v>
      </c>
      <c r="N20" s="151">
        <f t="shared" si="4"/>
        <v>12969876</v>
      </c>
      <c r="O20" s="152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65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1999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 t="s">
        <v>31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33">
        <f aca="true" t="shared" si="5" ref="O30:O42">SUM(C30:N30)</f>
        <v>0</v>
      </c>
      <c r="P30" s="134">
        <f aca="true" t="shared" si="6" ref="P30:P40">+O30/$O$45</f>
        <v>0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634332</v>
      </c>
      <c r="D31" s="111">
        <v>592719</v>
      </c>
      <c r="E31" s="111">
        <v>650337</v>
      </c>
      <c r="F31" s="111">
        <v>633729</v>
      </c>
      <c r="G31" s="111">
        <v>607965</v>
      </c>
      <c r="H31" s="111">
        <v>570261</v>
      </c>
      <c r="I31" s="111">
        <v>348636</v>
      </c>
      <c r="J31" s="111">
        <v>278920</v>
      </c>
      <c r="K31" s="111">
        <v>405664</v>
      </c>
      <c r="L31" s="111">
        <v>545505</v>
      </c>
      <c r="M31" s="111">
        <v>794199</v>
      </c>
      <c r="N31" s="111">
        <v>821038</v>
      </c>
      <c r="O31" s="133">
        <f t="shared" si="5"/>
        <v>6883305</v>
      </c>
      <c r="P31" s="134">
        <f t="shared" si="6"/>
        <v>0.12129631770353654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256555</v>
      </c>
      <c r="D32" s="111">
        <v>325868</v>
      </c>
      <c r="E32" s="111">
        <v>397705</v>
      </c>
      <c r="F32" s="111">
        <v>313425</v>
      </c>
      <c r="G32" s="111">
        <v>377566</v>
      </c>
      <c r="H32" s="111">
        <v>333414</v>
      </c>
      <c r="I32" s="111">
        <v>162070</v>
      </c>
      <c r="J32" s="111">
        <v>76566</v>
      </c>
      <c r="K32" s="111">
        <v>115148</v>
      </c>
      <c r="L32" s="111">
        <v>315816</v>
      </c>
      <c r="M32" s="111">
        <v>293309</v>
      </c>
      <c r="N32" s="111">
        <v>222098</v>
      </c>
      <c r="O32" s="133">
        <f t="shared" si="5"/>
        <v>3189540</v>
      </c>
      <c r="P32" s="134">
        <f t="shared" si="6"/>
        <v>0.056205479369015016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424663</v>
      </c>
      <c r="D33" s="111">
        <v>422241</v>
      </c>
      <c r="E33" s="111">
        <v>400109</v>
      </c>
      <c r="F33" s="111">
        <v>534636</v>
      </c>
      <c r="G33" s="111">
        <v>530915</v>
      </c>
      <c r="H33" s="111">
        <v>412079</v>
      </c>
      <c r="I33" s="111">
        <v>255113</v>
      </c>
      <c r="J33" s="111">
        <v>224574</v>
      </c>
      <c r="K33" s="111">
        <v>288151</v>
      </c>
      <c r="L33" s="111">
        <v>462777</v>
      </c>
      <c r="M33" s="111">
        <v>603594</v>
      </c>
      <c r="N33" s="111">
        <v>398887</v>
      </c>
      <c r="O33" s="133">
        <f t="shared" si="5"/>
        <v>4957739</v>
      </c>
      <c r="P33" s="134">
        <f t="shared" si="6"/>
        <v>0.08736435256540477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66</v>
      </c>
      <c r="C34" s="110">
        <f>285060+136117</f>
        <v>421177</v>
      </c>
      <c r="D34" s="111">
        <f>326669+128954</f>
        <v>455623</v>
      </c>
      <c r="E34" s="111">
        <f>318507+133197</f>
        <v>451704</v>
      </c>
      <c r="F34" s="111">
        <f>401303+156875</f>
        <v>558178</v>
      </c>
      <c r="G34" s="111">
        <f>397560+161076</f>
        <v>558636</v>
      </c>
      <c r="H34" s="111">
        <f>250232+124810</f>
        <v>375042</v>
      </c>
      <c r="I34" s="111">
        <f>152943+74240</f>
        <v>227183</v>
      </c>
      <c r="J34" s="111">
        <f>117258+69204</f>
        <v>186462</v>
      </c>
      <c r="K34" s="111">
        <f>192875+92771</f>
        <v>285646</v>
      </c>
      <c r="L34" s="111">
        <f>424170+137282</f>
        <v>561452</v>
      </c>
      <c r="M34" s="111">
        <f>422802+175967</f>
        <v>598769</v>
      </c>
      <c r="N34" s="111">
        <f>391458+145119</f>
        <v>536577</v>
      </c>
      <c r="O34" s="133">
        <f t="shared" si="5"/>
        <v>5216449</v>
      </c>
      <c r="P34" s="134">
        <f t="shared" si="6"/>
        <v>0.09192329196342389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1011037</v>
      </c>
      <c r="D35" s="111">
        <v>897404</v>
      </c>
      <c r="E35" s="111">
        <v>721216</v>
      </c>
      <c r="F35" s="111">
        <v>1071663</v>
      </c>
      <c r="G35" s="111">
        <v>863409</v>
      </c>
      <c r="H35" s="111">
        <v>571901</v>
      </c>
      <c r="I35" s="111">
        <v>247110</v>
      </c>
      <c r="J35" s="111">
        <v>342273</v>
      </c>
      <c r="K35" s="111">
        <v>538204</v>
      </c>
      <c r="L35" s="111">
        <v>1061667</v>
      </c>
      <c r="M35" s="111">
        <v>740820</v>
      </c>
      <c r="N35" s="111">
        <v>787191</v>
      </c>
      <c r="O35" s="133">
        <f t="shared" si="5"/>
        <v>8853895</v>
      </c>
      <c r="P35" s="134">
        <f t="shared" si="6"/>
        <v>0.15602168737746672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122956</v>
      </c>
      <c r="D36" s="111">
        <v>72963</v>
      </c>
      <c r="E36" s="111">
        <v>125271</v>
      </c>
      <c r="F36" s="111">
        <v>137889</v>
      </c>
      <c r="G36" s="111">
        <v>201580</v>
      </c>
      <c r="H36" s="111">
        <v>214266</v>
      </c>
      <c r="I36" s="111">
        <v>114187</v>
      </c>
      <c r="J36" s="111">
        <v>106725</v>
      </c>
      <c r="K36" s="111">
        <v>143289</v>
      </c>
      <c r="L36" s="111">
        <v>270420</v>
      </c>
      <c r="M36" s="111">
        <v>346773</v>
      </c>
      <c r="N36" s="111">
        <v>198263</v>
      </c>
      <c r="O36" s="133">
        <f t="shared" si="5"/>
        <v>2054582</v>
      </c>
      <c r="P36" s="134">
        <f t="shared" si="6"/>
        <v>0.036205461042328864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294341</v>
      </c>
      <c r="D37" s="111">
        <v>394081</v>
      </c>
      <c r="E37" s="111">
        <v>434163</v>
      </c>
      <c r="F37" s="111">
        <v>415935</v>
      </c>
      <c r="G37" s="111">
        <v>478115</v>
      </c>
      <c r="H37" s="111">
        <v>423873</v>
      </c>
      <c r="I37" s="111">
        <v>257175</v>
      </c>
      <c r="J37" s="111">
        <v>285545</v>
      </c>
      <c r="K37" s="111">
        <v>352487</v>
      </c>
      <c r="L37" s="111">
        <v>479365</v>
      </c>
      <c r="M37" s="111">
        <v>433571</v>
      </c>
      <c r="N37" s="111">
        <v>454350</v>
      </c>
      <c r="O37" s="133">
        <f t="shared" si="5"/>
        <v>4703001</v>
      </c>
      <c r="P37" s="134">
        <f t="shared" si="6"/>
        <v>0.08287540701102886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402231</v>
      </c>
      <c r="D38" s="111">
        <v>347735</v>
      </c>
      <c r="E38" s="111">
        <v>362205</v>
      </c>
      <c r="F38" s="111">
        <v>370130</v>
      </c>
      <c r="G38" s="111">
        <v>380262</v>
      </c>
      <c r="H38" s="111">
        <v>364966</v>
      </c>
      <c r="I38" s="111">
        <v>321003</v>
      </c>
      <c r="J38" s="111">
        <v>333883</v>
      </c>
      <c r="K38" s="111">
        <v>463904</v>
      </c>
      <c r="L38" s="111">
        <v>631524</v>
      </c>
      <c r="M38" s="111">
        <v>629099</v>
      </c>
      <c r="N38" s="111">
        <v>448760</v>
      </c>
      <c r="O38" s="133">
        <f t="shared" si="5"/>
        <v>5055702</v>
      </c>
      <c r="P38" s="134">
        <f t="shared" si="6"/>
        <v>0.08909063829169346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702177</v>
      </c>
      <c r="D39" s="111">
        <v>641453</v>
      </c>
      <c r="E39" s="111">
        <v>713559</v>
      </c>
      <c r="F39" s="111">
        <v>734435</v>
      </c>
      <c r="G39" s="111">
        <v>775376</v>
      </c>
      <c r="H39" s="111">
        <v>544928</v>
      </c>
      <c r="I39" s="111">
        <v>250133</v>
      </c>
      <c r="J39" s="111">
        <v>125147</v>
      </c>
      <c r="K39" s="111">
        <v>260056</v>
      </c>
      <c r="L39" s="111">
        <v>668192</v>
      </c>
      <c r="M39" s="111">
        <v>617386</v>
      </c>
      <c r="N39" s="111">
        <v>716044</v>
      </c>
      <c r="O39" s="133">
        <f>SUM(C39:N39)</f>
        <v>6748886</v>
      </c>
      <c r="P39" s="134">
        <f t="shared" si="6"/>
        <v>0.11892761114042598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7" ref="C40:O40">SUM(C30:C39)</f>
        <v>4269469</v>
      </c>
      <c r="D40" s="164">
        <f t="shared" si="7"/>
        <v>4150087</v>
      </c>
      <c r="E40" s="164">
        <f t="shared" si="7"/>
        <v>4256269</v>
      </c>
      <c r="F40" s="164">
        <f t="shared" si="7"/>
        <v>4770020</v>
      </c>
      <c r="G40" s="164">
        <f t="shared" si="7"/>
        <v>4773824</v>
      </c>
      <c r="H40" s="164">
        <f t="shared" si="7"/>
        <v>3810730</v>
      </c>
      <c r="I40" s="164">
        <f t="shared" si="7"/>
        <v>2182610</v>
      </c>
      <c r="J40" s="164">
        <f t="shared" si="7"/>
        <v>1960095</v>
      </c>
      <c r="K40" s="164">
        <f t="shared" si="7"/>
        <v>2852549</v>
      </c>
      <c r="L40" s="164">
        <f t="shared" si="7"/>
        <v>4996718</v>
      </c>
      <c r="M40" s="164">
        <f t="shared" si="7"/>
        <v>5057520</v>
      </c>
      <c r="N40" s="164">
        <f t="shared" si="7"/>
        <v>4583208</v>
      </c>
      <c r="O40" s="133">
        <f t="shared" si="7"/>
        <v>47663099</v>
      </c>
      <c r="P40" s="134">
        <f t="shared" si="6"/>
        <v>0.8399102464643241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v>207626</v>
      </c>
      <c r="D42" s="110">
        <v>138183</v>
      </c>
      <c r="E42" s="110">
        <v>178296</v>
      </c>
      <c r="F42" s="110">
        <v>308716</v>
      </c>
      <c r="G42" s="110">
        <v>268711</v>
      </c>
      <c r="H42" s="110">
        <v>190906</v>
      </c>
      <c r="I42" s="166">
        <v>84781</v>
      </c>
      <c r="J42" s="166">
        <v>109020</v>
      </c>
      <c r="K42" s="166">
        <v>143313</v>
      </c>
      <c r="L42" s="166">
        <v>282637</v>
      </c>
      <c r="M42" s="166">
        <v>300917</v>
      </c>
      <c r="N42" s="166">
        <v>407568</v>
      </c>
      <c r="O42" s="133">
        <f t="shared" si="5"/>
        <v>2620674</v>
      </c>
      <c r="P42" s="134">
        <f>+O42/$O$45</f>
        <v>0.04618102875020036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10">
        <v>412426</v>
      </c>
      <c r="D43" s="111">
        <v>411639</v>
      </c>
      <c r="E43" s="111">
        <v>451831</v>
      </c>
      <c r="F43" s="111">
        <v>922667</v>
      </c>
      <c r="G43" s="111">
        <v>935767</v>
      </c>
      <c r="H43" s="111">
        <v>546234</v>
      </c>
      <c r="I43" s="111">
        <v>215662</v>
      </c>
      <c r="J43" s="111">
        <v>146618</v>
      </c>
      <c r="K43" s="111">
        <v>208685</v>
      </c>
      <c r="L43" s="111">
        <v>659472</v>
      </c>
      <c r="M43" s="111">
        <v>595035</v>
      </c>
      <c r="N43" s="111">
        <v>958039</v>
      </c>
      <c r="O43" s="133">
        <f>SUM(C43:N43)</f>
        <v>6464075</v>
      </c>
      <c r="P43" s="134">
        <f>+O43/$O$45</f>
        <v>0.11390872478547556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>+C40+C42+C43</f>
        <v>4889521</v>
      </c>
      <c r="D45" s="148">
        <f aca="true" t="shared" si="8" ref="D45:O45">+D40+D42+D43</f>
        <v>4699909</v>
      </c>
      <c r="E45" s="148">
        <f t="shared" si="8"/>
        <v>4886396</v>
      </c>
      <c r="F45" s="148">
        <f t="shared" si="8"/>
        <v>6001403</v>
      </c>
      <c r="G45" s="148">
        <f t="shared" si="8"/>
        <v>5978302</v>
      </c>
      <c r="H45" s="148">
        <f t="shared" si="8"/>
        <v>4547870</v>
      </c>
      <c r="I45" s="148">
        <f t="shared" si="8"/>
        <v>2483053</v>
      </c>
      <c r="J45" s="148">
        <f t="shared" si="8"/>
        <v>2215733</v>
      </c>
      <c r="K45" s="148">
        <f t="shared" si="8"/>
        <v>3204547</v>
      </c>
      <c r="L45" s="148">
        <f t="shared" si="8"/>
        <v>5938827</v>
      </c>
      <c r="M45" s="148">
        <f t="shared" si="8"/>
        <v>5953472</v>
      </c>
      <c r="N45" s="148">
        <f t="shared" si="8"/>
        <v>5948815</v>
      </c>
      <c r="O45" s="147">
        <f t="shared" si="8"/>
        <v>56747848</v>
      </c>
      <c r="P45" s="149">
        <f>+P40+P42+P43</f>
        <v>1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2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2" t="s">
        <v>30</v>
      </c>
      <c r="Q48" s="12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>
      <c r="A51" s="12" t="s">
        <v>46</v>
      </c>
      <c r="B51" s="12"/>
      <c r="C51" s="16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2"/>
      <c r="P51" s="5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"/>
      <c r="B52" s="12"/>
      <c r="C52" s="24" t="s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6.5" thickBot="1">
      <c r="A53" s="12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1998</v>
      </c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6.5" thickBot="1" thickTop="1">
      <c r="A54" s="12"/>
      <c r="B54" s="30"/>
      <c r="C54" s="32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4" t="s">
        <v>11</v>
      </c>
      <c r="L54" s="33" t="s">
        <v>12</v>
      </c>
      <c r="M54" s="33" t="s">
        <v>13</v>
      </c>
      <c r="N54" s="33" t="s">
        <v>14</v>
      </c>
      <c r="O54" s="35" t="s">
        <v>15</v>
      </c>
      <c r="P54" s="17" t="s">
        <v>16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thickTop="1">
      <c r="A55" s="12"/>
      <c r="B55" s="13"/>
      <c r="C55" s="6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6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"/>
      <c r="B56" s="62" t="s">
        <v>42</v>
      </c>
      <c r="C56" s="3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"/>
      <c r="B57" s="36" t="s">
        <v>33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">
        <f aca="true" t="shared" si="9" ref="O57:O70">SUM(C57:N57)</f>
        <v>0</v>
      </c>
      <c r="P57" s="5" t="e">
        <f>+O57/$O$81</f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"/>
      <c r="B58" s="62" t="s">
        <v>34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">
        <f t="shared" si="9"/>
        <v>0</v>
      </c>
      <c r="P58" s="5" t="e">
        <f>+O58/$O$82</f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"/>
      <c r="B59" s="36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4"/>
      <c r="P59" s="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"/>
      <c r="B60" s="36" t="s">
        <v>43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4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"/>
      <c r="B61" s="36" t="s">
        <v>33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">
        <f t="shared" si="9"/>
        <v>0</v>
      </c>
      <c r="P61" s="5" t="e">
        <f>+O61/$O$81</f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62" t="s">
        <v>34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">
        <f t="shared" si="9"/>
        <v>0</v>
      </c>
      <c r="P62" s="5" t="e">
        <f>+O62/$O$82</f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"/>
      <c r="B63" s="3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"/>
      <c r="B64" s="62" t="s">
        <v>32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"/>
      <c r="P64" s="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">
      <c r="A65" s="12"/>
      <c r="B65" s="36" t="s">
        <v>33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">
        <f t="shared" si="9"/>
        <v>0</v>
      </c>
      <c r="P65" s="5" t="e">
        <f>+O65/$O$81</f>
        <v>#DIV/0!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34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">
        <f t="shared" si="9"/>
        <v>0</v>
      </c>
      <c r="P66" s="5" t="e">
        <f>+O66/$O$82</f>
        <v>#DIV/0!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44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/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 t="s">
        <v>33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>
        <f t="shared" si="9"/>
        <v>0</v>
      </c>
      <c r="P69" s="5" t="e">
        <f>+O69/$O$81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34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>
        <f t="shared" si="9"/>
        <v>0</v>
      </c>
      <c r="P70" s="5" t="e">
        <f>+O70/$O$82</f>
        <v>#DIV/0!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>
      <c r="A72" s="12"/>
      <c r="B72" s="66" t="s">
        <v>28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/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>
      <c r="A73" s="12"/>
      <c r="B73" s="67" t="s">
        <v>33</v>
      </c>
      <c r="C73" s="68">
        <f>+C57+C61+C65+C69</f>
        <v>0</v>
      </c>
      <c r="D73" s="69">
        <f aca="true" t="shared" si="10" ref="D73:N74">+D57+D61+D65+D69</f>
        <v>0</v>
      </c>
      <c r="E73" s="69">
        <f t="shared" si="10"/>
        <v>0</v>
      </c>
      <c r="F73" s="69">
        <f t="shared" si="10"/>
        <v>0</v>
      </c>
      <c r="G73" s="69">
        <f t="shared" si="10"/>
        <v>0</v>
      </c>
      <c r="H73" s="69">
        <f t="shared" si="10"/>
        <v>0</v>
      </c>
      <c r="I73" s="69">
        <f t="shared" si="10"/>
        <v>0</v>
      </c>
      <c r="J73" s="69">
        <f t="shared" si="10"/>
        <v>0</v>
      </c>
      <c r="K73" s="69">
        <f t="shared" si="10"/>
        <v>0</v>
      </c>
      <c r="L73" s="69">
        <f t="shared" si="10"/>
        <v>0</v>
      </c>
      <c r="M73" s="69">
        <f t="shared" si="10"/>
        <v>0</v>
      </c>
      <c r="N73" s="69">
        <f t="shared" si="10"/>
        <v>0</v>
      </c>
      <c r="O73" s="70">
        <f>SUM(C73:N73)</f>
        <v>0</v>
      </c>
      <c r="P73" s="71" t="e">
        <f>+P57+P61+P65+P69</f>
        <v>#DIV/0!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>
      <c r="A74" s="12"/>
      <c r="B74" s="43" t="s">
        <v>34</v>
      </c>
      <c r="C74" s="68">
        <f>+C58+C62+C66+C70</f>
        <v>0</v>
      </c>
      <c r="D74" s="69">
        <f t="shared" si="10"/>
        <v>0</v>
      </c>
      <c r="E74" s="69">
        <f t="shared" si="10"/>
        <v>0</v>
      </c>
      <c r="F74" s="69">
        <f t="shared" si="10"/>
        <v>0</v>
      </c>
      <c r="G74" s="69">
        <f t="shared" si="10"/>
        <v>0</v>
      </c>
      <c r="H74" s="69">
        <f t="shared" si="10"/>
        <v>0</v>
      </c>
      <c r="I74" s="69">
        <f t="shared" si="10"/>
        <v>0</v>
      </c>
      <c r="J74" s="69">
        <f t="shared" si="10"/>
        <v>0</v>
      </c>
      <c r="K74" s="69">
        <f t="shared" si="10"/>
        <v>0</v>
      </c>
      <c r="L74" s="69">
        <f t="shared" si="10"/>
        <v>0</v>
      </c>
      <c r="M74" s="69">
        <f t="shared" si="10"/>
        <v>0</v>
      </c>
      <c r="N74" s="69">
        <f t="shared" si="10"/>
        <v>0</v>
      </c>
      <c r="O74" s="70">
        <f>SUM(C74:N74)</f>
        <v>0</v>
      </c>
      <c r="P74" s="71" t="e">
        <f>+P58+P62+P66+P70</f>
        <v>#DIV/0!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>
      <c r="A75" s="12"/>
      <c r="B75" s="7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7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5" t="s">
        <v>27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/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 t="s">
        <v>33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>
        <f>SUM(C77:N77)</f>
        <v>0</v>
      </c>
      <c r="P77" s="5" t="e">
        <f>+O77/$O$81</f>
        <v>#DIV/0!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>
        <f>SUM(C78:N78)</f>
        <v>0</v>
      </c>
      <c r="P78" s="5" t="e">
        <f>+O78/$O$82</f>
        <v>#DIV/0!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6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>
      <c r="A80" s="12"/>
      <c r="B80" s="43" t="s">
        <v>45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/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>
      <c r="A81" s="12"/>
      <c r="B81" s="67" t="s">
        <v>33</v>
      </c>
      <c r="C81" s="68">
        <f aca="true" t="shared" si="11" ref="C81:N82">+C73+C77</f>
        <v>0</v>
      </c>
      <c r="D81" s="69">
        <f t="shared" si="11"/>
        <v>0</v>
      </c>
      <c r="E81" s="69">
        <f t="shared" si="11"/>
        <v>0</v>
      </c>
      <c r="F81" s="69">
        <f t="shared" si="11"/>
        <v>0</v>
      </c>
      <c r="G81" s="69">
        <f t="shared" si="11"/>
        <v>0</v>
      </c>
      <c r="H81" s="69">
        <f t="shared" si="11"/>
        <v>0</v>
      </c>
      <c r="I81" s="69">
        <f t="shared" si="11"/>
        <v>0</v>
      </c>
      <c r="J81" s="69">
        <f t="shared" si="11"/>
        <v>0</v>
      </c>
      <c r="K81" s="69">
        <f t="shared" si="11"/>
        <v>0</v>
      </c>
      <c r="L81" s="69">
        <f t="shared" si="11"/>
        <v>0</v>
      </c>
      <c r="M81" s="69">
        <f t="shared" si="11"/>
        <v>0</v>
      </c>
      <c r="N81" s="69">
        <f t="shared" si="11"/>
        <v>0</v>
      </c>
      <c r="O81" s="68">
        <f>+O73+O77</f>
        <v>0</v>
      </c>
      <c r="P81" s="71" t="e">
        <f>+P73+P77</f>
        <v>#DIV/0!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43" t="s">
        <v>34</v>
      </c>
      <c r="C82" s="68">
        <f t="shared" si="11"/>
        <v>0</v>
      </c>
      <c r="D82" s="69">
        <f t="shared" si="11"/>
        <v>0</v>
      </c>
      <c r="E82" s="69">
        <f t="shared" si="11"/>
        <v>0</v>
      </c>
      <c r="F82" s="69">
        <f t="shared" si="11"/>
        <v>0</v>
      </c>
      <c r="G82" s="69">
        <f t="shared" si="11"/>
        <v>0</v>
      </c>
      <c r="H82" s="69">
        <f t="shared" si="11"/>
        <v>0</v>
      </c>
      <c r="I82" s="69">
        <f t="shared" si="11"/>
        <v>0</v>
      </c>
      <c r="J82" s="69">
        <f t="shared" si="11"/>
        <v>0</v>
      </c>
      <c r="K82" s="69">
        <f t="shared" si="11"/>
        <v>0</v>
      </c>
      <c r="L82" s="69">
        <f t="shared" si="11"/>
        <v>0</v>
      </c>
      <c r="M82" s="69">
        <f t="shared" si="11"/>
        <v>0</v>
      </c>
      <c r="N82" s="69">
        <f t="shared" si="11"/>
        <v>0</v>
      </c>
      <c r="O82" s="68">
        <f>+O74+O78</f>
        <v>0</v>
      </c>
      <c r="P82" s="71" t="e">
        <f>+P74+P78</f>
        <v>#DIV/0!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thickBot="1">
      <c r="A83" s="12"/>
      <c r="B83" s="3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21"/>
      <c r="P83" s="2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thickTop="1">
      <c r="A84" s="12"/>
      <c r="B84" s="1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5" t="s">
        <v>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5" t="s">
        <v>30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8671875" defaultRowHeight="15"/>
  <cols>
    <col min="1" max="1" width="2.88671875" style="387" customWidth="1"/>
    <col min="2" max="2" width="12.21484375" style="387" customWidth="1"/>
    <col min="3" max="4" width="5.6640625" style="387" customWidth="1"/>
    <col min="5" max="6" width="7.88671875" style="387" bestFit="1" customWidth="1"/>
    <col min="7" max="7" width="8.10546875" style="387" bestFit="1" customWidth="1"/>
    <col min="8" max="8" width="7.88671875" style="387" bestFit="1" customWidth="1"/>
    <col min="9" max="27" width="7.21484375" style="387" bestFit="1" customWidth="1"/>
    <col min="28" max="28" width="8.88671875" style="387" customWidth="1"/>
    <col min="29" max="16384" width="8.88671875" style="387" customWidth="1"/>
  </cols>
  <sheetData>
    <row r="1" spans="1:28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2.75">
      <c r="A2" s="157"/>
      <c r="B2" s="157" t="s">
        <v>98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13.5" thickBot="1">
      <c r="A3" s="157"/>
      <c r="B3" s="127" t="s">
        <v>190</v>
      </c>
      <c r="C3" s="127"/>
      <c r="D3" s="127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14.25" thickBot="1" thickTop="1">
      <c r="A4" s="157"/>
      <c r="B4" s="127"/>
      <c r="C4" s="127"/>
      <c r="D4" s="127"/>
      <c r="E4" s="199" t="str">
        <f>E28</f>
        <v>2006Q1</v>
      </c>
      <c r="F4" s="199" t="str">
        <f>F28</f>
        <v>2006Q2</v>
      </c>
      <c r="G4" s="199" t="str">
        <f>G28</f>
        <v>2006Q3</v>
      </c>
      <c r="H4" s="199" t="str">
        <f>H28</f>
        <v>2006Q4</v>
      </c>
      <c r="I4" s="199" t="str">
        <f aca="true" t="shared" si="0" ref="I4:P4">I28</f>
        <v>2007Q1</v>
      </c>
      <c r="J4" s="199" t="str">
        <f t="shared" si="0"/>
        <v>2007Q2</v>
      </c>
      <c r="K4" s="199" t="str">
        <f t="shared" si="0"/>
        <v>2007Q3</v>
      </c>
      <c r="L4" s="199" t="str">
        <f t="shared" si="0"/>
        <v>2007Q4</v>
      </c>
      <c r="M4" s="199" t="str">
        <f t="shared" si="0"/>
        <v>2008Q1</v>
      </c>
      <c r="N4" s="199" t="str">
        <f t="shared" si="0"/>
        <v>2008Q2</v>
      </c>
      <c r="O4" s="199" t="str">
        <f t="shared" si="0"/>
        <v>2008Q3</v>
      </c>
      <c r="P4" s="199" t="str">
        <f t="shared" si="0"/>
        <v>2008Q4</v>
      </c>
      <c r="Q4" s="199" t="str">
        <f aca="true" t="shared" si="1" ref="Q4:Z4">Q28</f>
        <v>2009Q1</v>
      </c>
      <c r="R4" s="199" t="str">
        <f t="shared" si="1"/>
        <v>2009Q2</v>
      </c>
      <c r="S4" s="199" t="str">
        <f t="shared" si="1"/>
        <v>2009Q3</v>
      </c>
      <c r="T4" s="199" t="str">
        <f t="shared" si="1"/>
        <v>2009Q4</v>
      </c>
      <c r="U4" s="199" t="str">
        <f t="shared" si="1"/>
        <v>2010Q1</v>
      </c>
      <c r="V4" s="199" t="str">
        <f t="shared" si="1"/>
        <v>2010Q2</v>
      </c>
      <c r="W4" s="199" t="str">
        <f t="shared" si="1"/>
        <v>2010Q3</v>
      </c>
      <c r="X4" s="199" t="str">
        <f t="shared" si="1"/>
        <v>2010Q4</v>
      </c>
      <c r="Y4" s="199" t="str">
        <f t="shared" si="1"/>
        <v>2011Q1</v>
      </c>
      <c r="Z4" s="199" t="str">
        <f t="shared" si="1"/>
        <v>2011Q2</v>
      </c>
      <c r="AA4" s="199" t="str">
        <f>AA28</f>
        <v>2011Q3</v>
      </c>
      <c r="AB4" s="199" t="str">
        <f>AB28</f>
        <v>2011Q4</v>
      </c>
    </row>
    <row r="5" spans="1:28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1:30" s="388" customFormat="1" ht="12.75">
      <c r="A6" s="157"/>
      <c r="B6" s="157" t="s">
        <v>17</v>
      </c>
      <c r="C6" s="157"/>
      <c r="D6" s="157"/>
      <c r="E6" s="198">
        <f ca="1">SUM(INDIRECT(addresses!E6))/1000</f>
        <v>499.052</v>
      </c>
      <c r="F6" s="198">
        <f ca="1">SUM(INDIRECT(addresses!F6))/1000</f>
        <v>469.349</v>
      </c>
      <c r="G6" s="198">
        <f ca="1">SUM(INDIRECT(addresses!G6))/1000</f>
        <v>303.68</v>
      </c>
      <c r="H6" s="198">
        <f ca="1">SUM(INDIRECT(addresses!H6))/1000</f>
        <v>519.237</v>
      </c>
      <c r="I6" s="198">
        <f ca="1">SUM(INDIRECT(addresses!I6))/1000</f>
        <v>578.829</v>
      </c>
      <c r="J6" s="198">
        <f ca="1">SUM(INDIRECT(addresses!J6))/1000</f>
        <v>521.501</v>
      </c>
      <c r="K6" s="198">
        <f ca="1">SUM(INDIRECT(addresses!K6))/1000</f>
        <v>424.306</v>
      </c>
      <c r="L6" s="198">
        <f ca="1">SUM(INDIRECT(addresses!L6))/1000</f>
        <v>556.291</v>
      </c>
      <c r="M6" s="198">
        <f ca="1">SUM(INDIRECT(addresses!M6))/1000</f>
        <v>561.677</v>
      </c>
      <c r="N6" s="198">
        <f ca="1">SUM(INDIRECT(addresses!N6))/1000</f>
        <v>591.396</v>
      </c>
      <c r="O6" s="198">
        <f ca="1">SUM(INDIRECT(addresses!O6))/1000</f>
        <v>443.428</v>
      </c>
      <c r="P6" s="198">
        <f ca="1">SUM(INDIRECT(addresses!P6))/1000</f>
        <v>715.668</v>
      </c>
      <c r="Q6" s="198">
        <f ca="1">SUM(INDIRECT(addresses!Q6))/1000</f>
        <v>469.971</v>
      </c>
      <c r="R6" s="198">
        <f ca="1">SUM(INDIRECT(addresses!R6))/1000</f>
        <v>533.835</v>
      </c>
      <c r="S6" s="198">
        <f ca="1">SUM(INDIRECT(addresses!S6))/1000</f>
        <v>327.582</v>
      </c>
      <c r="T6" s="198">
        <f ca="1">SUM(INDIRECT(addresses!T6))/1000</f>
        <v>571.877</v>
      </c>
      <c r="U6" s="198">
        <f ca="1">SUM(INDIRECT(addresses!U6))/1000</f>
        <v>633.385</v>
      </c>
      <c r="V6" s="198">
        <f ca="1">SUM(INDIRECT(addresses!V6))/1000</f>
        <v>540.016</v>
      </c>
      <c r="W6" s="198">
        <f ca="1">SUM(INDIRECT(addresses!W6))/1000</f>
        <v>274.138</v>
      </c>
      <c r="X6" s="198">
        <f ca="1">SUM(INDIRECT(addresses!X6))/1000</f>
        <v>595.75</v>
      </c>
      <c r="Y6" s="198">
        <f ca="1">SUM(INDIRECT(addresses!Y6))/1000</f>
        <v>645.963</v>
      </c>
      <c r="Z6" s="198">
        <f ca="1">SUM(INDIRECT(addresses!Z6))/1000</f>
        <v>616.18</v>
      </c>
      <c r="AA6" s="198">
        <f ca="1">SUM(INDIRECT(addresses!AA6))/1000</f>
        <v>519.683</v>
      </c>
      <c r="AB6" s="198" t="e">
        <f ca="1">SUM(INDIRECT(addresses!AB6))/1000</f>
        <v>#N/A</v>
      </c>
      <c r="AD6" s="458">
        <f>AA6/W6-1</f>
        <v>0.8956985168054048</v>
      </c>
    </row>
    <row r="7" spans="1:30" s="388" customFormat="1" ht="12.75">
      <c r="A7" s="157"/>
      <c r="B7" s="157" t="s">
        <v>18</v>
      </c>
      <c r="C7" s="157"/>
      <c r="D7" s="157"/>
      <c r="E7" s="198">
        <f ca="1">SUM(INDIRECT(addresses!E7))/1000</f>
        <v>355.583</v>
      </c>
      <c r="F7" s="198">
        <f ca="1">SUM(INDIRECT(addresses!F7))/1000</f>
        <v>359.452</v>
      </c>
      <c r="G7" s="198">
        <f ca="1">SUM(INDIRECT(addresses!G7))/1000</f>
        <v>214.716</v>
      </c>
      <c r="H7" s="198">
        <f ca="1">SUM(INDIRECT(addresses!H7))/1000</f>
        <v>289.378</v>
      </c>
      <c r="I7" s="198">
        <f ca="1">SUM(INDIRECT(addresses!I7))/1000</f>
        <v>520.03</v>
      </c>
      <c r="J7" s="198">
        <f ca="1">SUM(INDIRECT(addresses!J7))/1000</f>
        <v>447.569</v>
      </c>
      <c r="K7" s="198">
        <f ca="1">SUM(INDIRECT(addresses!K7))/1000</f>
        <v>340.643</v>
      </c>
      <c r="L7" s="198">
        <f ca="1">SUM(INDIRECT(addresses!L7))/1000</f>
        <v>408.252</v>
      </c>
      <c r="M7" s="198">
        <f ca="1">SUM(INDIRECT(addresses!M7))/1000</f>
        <v>433.342</v>
      </c>
      <c r="N7" s="198">
        <f ca="1">SUM(INDIRECT(addresses!N7))/1000</f>
        <v>537.289</v>
      </c>
      <c r="O7" s="198">
        <f ca="1">SUM(INDIRECT(addresses!O7))/1000</f>
        <v>343.097</v>
      </c>
      <c r="P7" s="198">
        <f ca="1">SUM(INDIRECT(addresses!P7))/1000</f>
        <v>477.272</v>
      </c>
      <c r="Q7" s="198">
        <f ca="1">SUM(INDIRECT(addresses!Q7))/1000</f>
        <v>453.3615</v>
      </c>
      <c r="R7" s="198">
        <f ca="1">SUM(INDIRECT(addresses!R7))/1000</f>
        <v>491.019</v>
      </c>
      <c r="S7" s="198">
        <f ca="1">SUM(INDIRECT(addresses!S7))/1000</f>
        <v>268.3115</v>
      </c>
      <c r="T7" s="198">
        <f ca="1">SUM(INDIRECT(addresses!T7))/1000</f>
        <v>438.373</v>
      </c>
      <c r="U7" s="198">
        <f ca="1">SUM(INDIRECT(addresses!U7))/1000</f>
        <v>593.337</v>
      </c>
      <c r="V7" s="198">
        <f ca="1">SUM(INDIRECT(addresses!V7))/1000</f>
        <v>535.209</v>
      </c>
      <c r="W7" s="198">
        <f ca="1">SUM(INDIRECT(addresses!W7))/1000</f>
        <v>278.176</v>
      </c>
      <c r="X7" s="198">
        <f ca="1">SUM(INDIRECT(addresses!X7))/1000</f>
        <v>551.108</v>
      </c>
      <c r="Y7" s="198">
        <f ca="1">SUM(INDIRECT(addresses!Y7))/1000</f>
        <v>573.015</v>
      </c>
      <c r="Z7" s="198">
        <f ca="1">SUM(INDIRECT(addresses!Z7))/1000</f>
        <v>623.7778000000001</v>
      </c>
      <c r="AA7" s="198">
        <f ca="1">SUM(INDIRECT(addresses!AA7))/1000</f>
        <v>428.237</v>
      </c>
      <c r="AB7" s="198" t="e">
        <f ca="1">SUM(INDIRECT(addresses!AB7))/1000</f>
        <v>#N/A</v>
      </c>
      <c r="AD7" s="458">
        <f aca="true" t="shared" si="2" ref="AD7:AD19">AA7/W7-1</f>
        <v>0.5394462498562063</v>
      </c>
    </row>
    <row r="8" spans="1:30" s="388" customFormat="1" ht="12.75">
      <c r="A8" s="157"/>
      <c r="B8" s="157" t="s">
        <v>19</v>
      </c>
      <c r="C8" s="157"/>
      <c r="D8" s="157"/>
      <c r="E8" s="198">
        <f ca="1">SUM(INDIRECT(addresses!E8))/1000</f>
        <v>359.915</v>
      </c>
      <c r="F8" s="198">
        <f ca="1">SUM(INDIRECT(addresses!F8))/1000</f>
        <v>422.031</v>
      </c>
      <c r="G8" s="198">
        <f ca="1">SUM(INDIRECT(addresses!G8))/1000</f>
        <v>290.7</v>
      </c>
      <c r="H8" s="198">
        <f ca="1">SUM(INDIRECT(addresses!H8))/1000</f>
        <v>325.178</v>
      </c>
      <c r="I8" s="198">
        <f ca="1">SUM(INDIRECT(addresses!I8))/1000</f>
        <v>548.714</v>
      </c>
      <c r="J8" s="198">
        <f ca="1">SUM(INDIRECT(addresses!J8))/1000</f>
        <v>482.782</v>
      </c>
      <c r="K8" s="198">
        <f ca="1">SUM(INDIRECT(addresses!K8))/1000</f>
        <v>320.129</v>
      </c>
      <c r="L8" s="198">
        <f ca="1">SUM(INDIRECT(addresses!L8))/1000</f>
        <v>408.516</v>
      </c>
      <c r="M8" s="198">
        <f ca="1">SUM(INDIRECT(addresses!M8))/1000</f>
        <v>493.501</v>
      </c>
      <c r="N8" s="198">
        <f ca="1">SUM(INDIRECT(addresses!N8))/1000</f>
        <v>510.617</v>
      </c>
      <c r="O8" s="198">
        <f ca="1">SUM(INDIRECT(addresses!O8))/1000</f>
        <v>339.643</v>
      </c>
      <c r="P8" s="198">
        <f ca="1">SUM(INDIRECT(addresses!P8))/1000</f>
        <v>532.773</v>
      </c>
      <c r="Q8" s="198">
        <f ca="1">SUM(INDIRECT(addresses!Q8))/1000</f>
        <v>485.365</v>
      </c>
      <c r="R8" s="198">
        <f ca="1">SUM(INDIRECT(addresses!R8))/1000</f>
        <v>539.652</v>
      </c>
      <c r="S8" s="198">
        <f ca="1">SUM(INDIRECT(addresses!S8))/1000</f>
        <v>323.823</v>
      </c>
      <c r="T8" s="198">
        <f ca="1">SUM(INDIRECT(addresses!T8))/1000</f>
        <v>499.784</v>
      </c>
      <c r="U8" s="198">
        <f ca="1">SUM(INDIRECT(addresses!U8))/1000</f>
        <v>606.467</v>
      </c>
      <c r="V8" s="198">
        <f ca="1">SUM(INDIRECT(addresses!V8))/1000</f>
        <v>562.482</v>
      </c>
      <c r="W8" s="198">
        <f ca="1">SUM(INDIRECT(addresses!W8))/1000</f>
        <v>349.225</v>
      </c>
      <c r="X8" s="198">
        <f ca="1">SUM(INDIRECT(addresses!X8))/1000</f>
        <v>492.736</v>
      </c>
      <c r="Y8" s="198">
        <f ca="1">SUM(INDIRECT(addresses!Y8))/1000</f>
        <v>501.024</v>
      </c>
      <c r="Z8" s="198">
        <f ca="1">SUM(INDIRECT(addresses!Z8))/1000</f>
        <v>526.4</v>
      </c>
      <c r="AA8" s="198">
        <f ca="1">SUM(INDIRECT(addresses!AA8))/1000</f>
        <v>439.203</v>
      </c>
      <c r="AB8" s="198" t="e">
        <f ca="1">SUM(INDIRECT(addresses!AB8))/1000</f>
        <v>#N/A</v>
      </c>
      <c r="AD8" s="458">
        <f t="shared" si="2"/>
        <v>0.25765051184766263</v>
      </c>
    </row>
    <row r="9" spans="1:30" s="388" customFormat="1" ht="12.75">
      <c r="A9" s="157"/>
      <c r="B9" s="157" t="s">
        <v>20</v>
      </c>
      <c r="C9" s="157"/>
      <c r="D9" s="157"/>
      <c r="E9" s="198">
        <f ca="1">SUM(INDIRECT(addresses!E9))/1000</f>
        <v>401.342</v>
      </c>
      <c r="F9" s="198">
        <f ca="1">SUM(INDIRECT(addresses!F9))/1000</f>
        <v>433.182</v>
      </c>
      <c r="G9" s="198">
        <f ca="1">SUM(INDIRECT(addresses!G9))/1000</f>
        <v>233.0765</v>
      </c>
      <c r="H9" s="198">
        <f ca="1">SUM(INDIRECT(addresses!H9))/1000</f>
        <v>393.425</v>
      </c>
      <c r="I9" s="198">
        <f ca="1">SUM(INDIRECT(addresses!I9))/1000</f>
        <v>561.678</v>
      </c>
      <c r="J9" s="198">
        <f ca="1">SUM(INDIRECT(addresses!J9))/1000</f>
        <v>564.136</v>
      </c>
      <c r="K9" s="198">
        <f ca="1">SUM(INDIRECT(addresses!K9))/1000</f>
        <v>402.795</v>
      </c>
      <c r="L9" s="198">
        <f ca="1">SUM(INDIRECT(addresses!L9))/1000</f>
        <v>576.529</v>
      </c>
      <c r="M9" s="198">
        <f ca="1">SUM(INDIRECT(addresses!M9))/1000</f>
        <v>601.6505</v>
      </c>
      <c r="N9" s="198">
        <f ca="1">SUM(INDIRECT(addresses!N9))/1000</f>
        <v>546.529</v>
      </c>
      <c r="O9" s="198">
        <f ca="1">SUM(INDIRECT(addresses!O9))/1000</f>
        <v>233.113</v>
      </c>
      <c r="P9" s="198">
        <f ca="1">SUM(INDIRECT(addresses!P9))/1000</f>
        <v>413.088</v>
      </c>
      <c r="Q9" s="198">
        <f ca="1">SUM(INDIRECT(addresses!Q9))/1000</f>
        <v>439.198</v>
      </c>
      <c r="R9" s="198">
        <f ca="1">SUM(INDIRECT(addresses!R9))/1000</f>
        <v>462.768</v>
      </c>
      <c r="S9" s="198">
        <f ca="1">SUM(INDIRECT(addresses!S9))/1000</f>
        <v>183.709</v>
      </c>
      <c r="T9" s="198">
        <f ca="1">SUM(INDIRECT(addresses!T9))/1000</f>
        <v>402.861</v>
      </c>
      <c r="U9" s="198">
        <f ca="1">SUM(INDIRECT(addresses!U9))/1000</f>
        <v>581.16</v>
      </c>
      <c r="V9" s="198">
        <f ca="1">SUM(INDIRECT(addresses!V9))/1000</f>
        <v>544.395</v>
      </c>
      <c r="W9" s="198">
        <f ca="1">SUM(INDIRECT(addresses!W9))/1000</f>
        <v>204.051</v>
      </c>
      <c r="X9" s="198">
        <f ca="1">SUM(INDIRECT(addresses!X9))/1000</f>
        <v>421.647</v>
      </c>
      <c r="Y9" s="198">
        <f ca="1">SUM(INDIRECT(addresses!Y9))/1000</f>
        <v>599.746</v>
      </c>
      <c r="Z9" s="198">
        <f ca="1">SUM(INDIRECT(addresses!Z9))/1000</f>
        <v>638.524</v>
      </c>
      <c r="AA9" s="198">
        <f ca="1">SUM(INDIRECT(addresses!AA9))/1000</f>
        <v>372.898</v>
      </c>
      <c r="AB9" s="198" t="e">
        <f ca="1">SUM(INDIRECT(addresses!AB9))/1000</f>
        <v>#N/A</v>
      </c>
      <c r="AD9" s="458">
        <f t="shared" si="2"/>
        <v>0.8274745039230391</v>
      </c>
    </row>
    <row r="10" spans="1:30" s="388" customFormat="1" ht="12.75">
      <c r="A10" s="157"/>
      <c r="B10" s="157" t="s">
        <v>21</v>
      </c>
      <c r="C10" s="157"/>
      <c r="D10" s="157"/>
      <c r="E10" s="198">
        <f ca="1">SUM(INDIRECT(addresses!E10))/1000</f>
        <v>622.85</v>
      </c>
      <c r="F10" s="198">
        <f ca="1">SUM(INDIRECT(addresses!F10))/1000</f>
        <v>775.129</v>
      </c>
      <c r="G10" s="198">
        <f ca="1">SUM(INDIRECT(addresses!G10))/1000</f>
        <v>451.538</v>
      </c>
      <c r="H10" s="198">
        <f ca="1">SUM(INDIRECT(addresses!H10))/1000</f>
        <v>757.685</v>
      </c>
      <c r="I10" s="198">
        <f ca="1">SUM(INDIRECT(addresses!I10))/1000</f>
        <v>978.203</v>
      </c>
      <c r="J10" s="198">
        <f ca="1">SUM(INDIRECT(addresses!J10))/1000</f>
        <v>905.656</v>
      </c>
      <c r="K10" s="198">
        <f ca="1">SUM(INDIRECT(addresses!K10))/1000</f>
        <v>545.359</v>
      </c>
      <c r="L10" s="198">
        <f ca="1">SUM(INDIRECT(addresses!L10))/1000</f>
        <v>832.189</v>
      </c>
      <c r="M10" s="198">
        <f ca="1">SUM(INDIRECT(addresses!M10))/1000</f>
        <v>780.44</v>
      </c>
      <c r="N10" s="198">
        <f ca="1">SUM(INDIRECT(addresses!N10))/1000</f>
        <v>917.839</v>
      </c>
      <c r="O10" s="198">
        <f ca="1">SUM(INDIRECT(addresses!O10))/1000</f>
        <v>572.316</v>
      </c>
      <c r="P10" s="198">
        <f ca="1">SUM(INDIRECT(addresses!P10))/1000</f>
        <v>941.996</v>
      </c>
      <c r="Q10" s="198">
        <f ca="1">SUM(INDIRECT(addresses!Q10))/1000</f>
        <v>805.065</v>
      </c>
      <c r="R10" s="198">
        <f ca="1">SUM(INDIRECT(addresses!R10))/1000</f>
        <v>978.565</v>
      </c>
      <c r="S10" s="198">
        <f ca="1">SUM(INDIRECT(addresses!S10))/1000</f>
        <v>618.323</v>
      </c>
      <c r="T10" s="198">
        <f ca="1">SUM(INDIRECT(addresses!T10))/1000</f>
        <v>997.177</v>
      </c>
      <c r="U10" s="198">
        <f ca="1">SUM(INDIRECT(addresses!U10))/1000</f>
        <v>1054.663</v>
      </c>
      <c r="V10" s="198">
        <f ca="1">SUM(INDIRECT(addresses!V10))/1000</f>
        <v>962.647</v>
      </c>
      <c r="W10" s="198">
        <f ca="1">SUM(INDIRECT(addresses!W10))/1000</f>
        <v>411.928</v>
      </c>
      <c r="X10" s="198">
        <f ca="1">SUM(INDIRECT(addresses!X10))/1000</f>
        <v>937.838</v>
      </c>
      <c r="Y10" s="198">
        <f ca="1">SUM(INDIRECT(addresses!Y10))/1000</f>
        <v>912.952</v>
      </c>
      <c r="Z10" s="198">
        <f ca="1">SUM(INDIRECT(addresses!Z10))/1000</f>
        <v>1033.727</v>
      </c>
      <c r="AA10" s="198">
        <f ca="1">SUM(INDIRECT(addresses!AA10))/1000</f>
        <v>748.095</v>
      </c>
      <c r="AB10" s="198" t="e">
        <f ca="1">SUM(INDIRECT(addresses!AB10))/1000</f>
        <v>#N/A</v>
      </c>
      <c r="AD10" s="458">
        <f t="shared" si="2"/>
        <v>0.8160819366491232</v>
      </c>
    </row>
    <row r="11" spans="1:30" s="388" customFormat="1" ht="12.75">
      <c r="A11" s="157"/>
      <c r="B11" s="157" t="s">
        <v>22</v>
      </c>
      <c r="C11" s="157"/>
      <c r="D11" s="157"/>
      <c r="E11" s="198">
        <f ca="1">SUM(INDIRECT(addresses!E11))/1000</f>
        <v>256.475</v>
      </c>
      <c r="F11" s="198">
        <f ca="1">SUM(INDIRECT(addresses!F11))/1000</f>
        <v>230.703</v>
      </c>
      <c r="G11" s="198">
        <f ca="1">SUM(INDIRECT(addresses!G11))/1000</f>
        <v>39.641</v>
      </c>
      <c r="H11" s="198">
        <f ca="1">SUM(INDIRECT(addresses!H11))/1000</f>
        <v>0</v>
      </c>
      <c r="I11" s="198">
        <f ca="1">SUM(INDIRECT(addresses!I11))/1000</f>
        <v>347.294</v>
      </c>
      <c r="J11" s="198">
        <f ca="1">SUM(INDIRECT(addresses!J11))/1000</f>
        <v>350.824</v>
      </c>
      <c r="K11" s="198">
        <f ca="1">SUM(INDIRECT(addresses!K11))/1000</f>
        <v>258.666</v>
      </c>
      <c r="L11" s="198">
        <f ca="1">SUM(INDIRECT(addresses!L11))/1000</f>
        <v>284.706</v>
      </c>
      <c r="M11" s="198">
        <f ca="1">SUM(INDIRECT(addresses!M11))/1000</f>
        <v>294.404</v>
      </c>
      <c r="N11" s="198">
        <f ca="1">SUM(INDIRECT(addresses!N11))/1000</f>
        <v>333.947</v>
      </c>
      <c r="O11" s="198">
        <f ca="1">SUM(INDIRECT(addresses!O11))/1000</f>
        <v>254.093</v>
      </c>
      <c r="P11" s="198">
        <f ca="1">SUM(INDIRECT(addresses!P11))/1000</f>
        <v>320.845</v>
      </c>
      <c r="Q11" s="198">
        <f ca="1">SUM(INDIRECT(addresses!Q11))/1000</f>
        <v>206.488</v>
      </c>
      <c r="R11" s="198">
        <f ca="1">SUM(INDIRECT(addresses!R11))/1000</f>
        <v>260.219</v>
      </c>
      <c r="S11" s="198">
        <f ca="1">SUM(INDIRECT(addresses!S11))/1000</f>
        <v>177.023</v>
      </c>
      <c r="T11" s="198">
        <f ca="1">SUM(INDIRECT(addresses!T11))/1000</f>
        <v>226.985</v>
      </c>
      <c r="U11" s="198">
        <f ca="1">SUM(INDIRECT(addresses!U11))/1000</f>
        <v>276.451</v>
      </c>
      <c r="V11" s="198">
        <f ca="1">SUM(INDIRECT(addresses!V11))/1000</f>
        <v>240.081</v>
      </c>
      <c r="W11" s="198">
        <f ca="1">SUM(INDIRECT(addresses!W11))/1000</f>
        <v>0</v>
      </c>
      <c r="X11" s="198">
        <f ca="1">SUM(INDIRECT(addresses!X11))/1000</f>
        <v>36.178</v>
      </c>
      <c r="Y11" s="198">
        <f ca="1">SUM(INDIRECT(addresses!Y11))/1000</f>
        <v>232.311</v>
      </c>
      <c r="Z11" s="198">
        <f ca="1">SUM(INDIRECT(addresses!Z11))/1000</f>
        <v>280.353</v>
      </c>
      <c r="AA11" s="198">
        <f ca="1">SUM(INDIRECT(addresses!AA11))/1000</f>
        <v>200.099</v>
      </c>
      <c r="AB11" s="198" t="e">
        <f ca="1">SUM(INDIRECT(addresses!AB11))/1000</f>
        <v>#N/A</v>
      </c>
      <c r="AD11" s="458"/>
    </row>
    <row r="12" spans="1:30" s="388" customFormat="1" ht="12.75">
      <c r="A12" s="157"/>
      <c r="B12" s="157" t="s">
        <v>23</v>
      </c>
      <c r="C12" s="157"/>
      <c r="D12" s="157"/>
      <c r="E12" s="198">
        <f ca="1">SUM(INDIRECT(addresses!E12))/1000</f>
        <v>0</v>
      </c>
      <c r="F12" s="198">
        <f ca="1">SUM(INDIRECT(addresses!F12))/1000</f>
        <v>0</v>
      </c>
      <c r="G12" s="198">
        <f ca="1">SUM(INDIRECT(addresses!G12))/1000</f>
        <v>0</v>
      </c>
      <c r="H12" s="198">
        <f ca="1">SUM(INDIRECT(addresses!H12))/1000</f>
        <v>0</v>
      </c>
      <c r="I12" s="198">
        <f ca="1">SUM(INDIRECT(addresses!I12))/1000</f>
        <v>299.494</v>
      </c>
      <c r="J12" s="198">
        <f ca="1">SUM(INDIRECT(addresses!J12))/1000</f>
        <v>437.502</v>
      </c>
      <c r="K12" s="198">
        <f ca="1">SUM(INDIRECT(addresses!K12))/1000</f>
        <v>300.931</v>
      </c>
      <c r="L12" s="198">
        <f ca="1">SUM(INDIRECT(addresses!L12))/1000</f>
        <v>403.138</v>
      </c>
      <c r="M12" s="198">
        <f ca="1">SUM(INDIRECT(addresses!M12))/1000</f>
        <v>436.839</v>
      </c>
      <c r="N12" s="198">
        <f ca="1">SUM(INDIRECT(addresses!N12))/1000</f>
        <v>501.241</v>
      </c>
      <c r="O12" s="198">
        <f ca="1">SUM(INDIRECT(addresses!O12))/1000</f>
        <v>351.468</v>
      </c>
      <c r="P12" s="198">
        <f ca="1">SUM(INDIRECT(addresses!P12))/1000</f>
        <v>497.468</v>
      </c>
      <c r="Q12" s="198">
        <f ca="1">SUM(INDIRECT(addresses!Q12))/1000</f>
        <v>477.768</v>
      </c>
      <c r="R12" s="198">
        <f ca="1">SUM(INDIRECT(addresses!R12))/1000</f>
        <v>533.902</v>
      </c>
      <c r="S12" s="198">
        <f ca="1">SUM(INDIRECT(addresses!S12))/1000</f>
        <v>355.749</v>
      </c>
      <c r="T12" s="198">
        <f ca="1">SUM(INDIRECT(addresses!T12))/1000</f>
        <v>561.588</v>
      </c>
      <c r="U12" s="198">
        <f ca="1">SUM(INDIRECT(addresses!U12))/1000</f>
        <v>591.901</v>
      </c>
      <c r="V12" s="198">
        <f ca="1">SUM(INDIRECT(addresses!V12))/1000</f>
        <v>538.654</v>
      </c>
      <c r="W12" s="198">
        <f ca="1">SUM(INDIRECT(addresses!W12))/1000</f>
        <v>315.451</v>
      </c>
      <c r="X12" s="198">
        <f ca="1">SUM(INDIRECT(addresses!X12))/1000</f>
        <v>591.181</v>
      </c>
      <c r="Y12" s="198">
        <f ca="1">SUM(INDIRECT(addresses!Y12))/1000</f>
        <v>589.177</v>
      </c>
      <c r="Z12" s="198">
        <f ca="1">SUM(INDIRECT(addresses!Z12))/1000</f>
        <v>613.982</v>
      </c>
      <c r="AA12" s="198">
        <f ca="1">SUM(INDIRECT(addresses!AA12))/1000</f>
        <v>476.287</v>
      </c>
      <c r="AB12" s="198" t="e">
        <f ca="1">SUM(INDIRECT(addresses!AB12))/1000</f>
        <v>#N/A</v>
      </c>
      <c r="AD12" s="458">
        <f t="shared" si="2"/>
        <v>0.5098604854636692</v>
      </c>
    </row>
    <row r="13" spans="1:30" s="388" customFormat="1" ht="12.75">
      <c r="A13" s="157"/>
      <c r="B13" s="157" t="s">
        <v>24</v>
      </c>
      <c r="C13" s="157"/>
      <c r="D13" s="157"/>
      <c r="E13" s="198">
        <f ca="1">SUM(INDIRECT(addresses!E13))/1000</f>
        <v>417.517</v>
      </c>
      <c r="F13" s="198">
        <f ca="1">SUM(INDIRECT(addresses!F13))/1000</f>
        <v>397.435</v>
      </c>
      <c r="G13" s="198">
        <f ca="1">SUM(INDIRECT(addresses!G13))/1000</f>
        <v>93.561</v>
      </c>
      <c r="H13" s="198">
        <f ca="1">SUM(INDIRECT(addresses!H13))/1000</f>
        <v>0</v>
      </c>
      <c r="I13" s="198">
        <f ca="1">SUM(INDIRECT(addresses!I13))/1000</f>
        <v>409.552</v>
      </c>
      <c r="J13" s="198">
        <f ca="1">SUM(INDIRECT(addresses!J13))/1000</f>
        <v>288.379</v>
      </c>
      <c r="K13" s="198">
        <f ca="1">SUM(INDIRECT(addresses!K13))/1000</f>
        <v>236.148</v>
      </c>
      <c r="L13" s="198">
        <f ca="1">SUM(INDIRECT(addresses!L13))/1000</f>
        <v>275.572</v>
      </c>
      <c r="M13" s="198">
        <f ca="1">SUM(INDIRECT(addresses!M13))/1000</f>
        <v>261.781</v>
      </c>
      <c r="N13" s="198">
        <f ca="1">SUM(INDIRECT(addresses!N13))/1000</f>
        <v>315.606</v>
      </c>
      <c r="O13" s="198">
        <f ca="1">SUM(INDIRECT(addresses!O13))/1000</f>
        <v>255.979</v>
      </c>
      <c r="P13" s="198">
        <f ca="1">SUM(INDIRECT(addresses!P13))/1000</f>
        <v>362.166</v>
      </c>
      <c r="Q13" s="198">
        <f ca="1">SUM(INDIRECT(addresses!Q13))/1000</f>
        <v>414.492</v>
      </c>
      <c r="R13" s="198">
        <f ca="1">SUM(INDIRECT(addresses!R13))/1000</f>
        <v>485.121</v>
      </c>
      <c r="S13" s="198">
        <f ca="1">SUM(INDIRECT(addresses!S13))/1000</f>
        <v>495.19</v>
      </c>
      <c r="T13" s="198">
        <f ca="1">SUM(INDIRECT(addresses!T13))/1000</f>
        <v>535.023</v>
      </c>
      <c r="U13" s="198">
        <f ca="1">SUM(INDIRECT(addresses!U13))/1000</f>
        <v>662.124</v>
      </c>
      <c r="V13" s="198">
        <f ca="1">SUM(INDIRECT(addresses!V13))/1000</f>
        <v>591.871</v>
      </c>
      <c r="W13" s="198">
        <f ca="1">SUM(INDIRECT(addresses!W13))/1000</f>
        <v>601.519</v>
      </c>
      <c r="X13" s="198">
        <f ca="1">SUM(INDIRECT(addresses!X13))/1000</f>
        <v>800.922</v>
      </c>
      <c r="Y13" s="198">
        <f ca="1">SUM(INDIRECT(addresses!Y13))/1000</f>
        <v>517.067</v>
      </c>
      <c r="Z13" s="198">
        <f ca="1">SUM(INDIRECT(addresses!Z13))/1000</f>
        <v>603.21</v>
      </c>
      <c r="AA13" s="198">
        <f ca="1">SUM(INDIRECT(addresses!AA13))/1000</f>
        <v>484.448</v>
      </c>
      <c r="AB13" s="198" t="e">
        <f ca="1">SUM(INDIRECT(addresses!AB13))/1000</f>
        <v>#N/A</v>
      </c>
      <c r="AD13" s="458">
        <f t="shared" si="2"/>
        <v>-0.1946256061737036</v>
      </c>
    </row>
    <row r="14" spans="1:30" s="388" customFormat="1" ht="12.75">
      <c r="A14" s="157"/>
      <c r="B14" s="157" t="s">
        <v>25</v>
      </c>
      <c r="C14" s="157"/>
      <c r="D14" s="157"/>
      <c r="E14" s="198">
        <f ca="1">SUM(INDIRECT(addresses!E14))/1000</f>
        <v>651.736</v>
      </c>
      <c r="F14" s="198">
        <f ca="1">SUM(INDIRECT(addresses!F14))/1000</f>
        <v>593.245</v>
      </c>
      <c r="G14" s="198">
        <f ca="1">SUM(INDIRECT(addresses!G14))/1000</f>
        <v>314.854</v>
      </c>
      <c r="H14" s="198">
        <f ca="1">SUM(INDIRECT(addresses!H14))/1000</f>
        <v>455.37</v>
      </c>
      <c r="I14" s="198">
        <f ca="1">SUM(INDIRECT(addresses!I14))/1000</f>
        <v>695.122</v>
      </c>
      <c r="J14" s="198">
        <f ca="1">SUM(INDIRECT(addresses!J14))/1000</f>
        <v>601.366</v>
      </c>
      <c r="K14" s="198">
        <f ca="1">SUM(INDIRECT(addresses!K14))/1000</f>
        <v>317.015</v>
      </c>
      <c r="L14" s="198">
        <f ca="1">SUM(INDIRECT(addresses!L14))/1000</f>
        <v>387.073</v>
      </c>
      <c r="M14" s="198">
        <f ca="1">SUM(INDIRECT(addresses!M14))/1000</f>
        <v>458.318</v>
      </c>
      <c r="N14" s="198">
        <f ca="1">SUM(INDIRECT(addresses!N14))/1000</f>
        <v>542.436</v>
      </c>
      <c r="O14" s="198">
        <f ca="1">SUM(INDIRECT(addresses!O14))/1000</f>
        <v>297.899</v>
      </c>
      <c r="P14" s="198">
        <f ca="1">SUM(INDIRECT(addresses!P14))/1000</f>
        <v>154.936</v>
      </c>
      <c r="Q14" s="198">
        <f ca="1">SUM(INDIRECT(addresses!Q14))/1000</f>
        <v>439.662</v>
      </c>
      <c r="R14" s="198">
        <f ca="1">SUM(INDIRECT(addresses!R14))/1000</f>
        <v>518.833</v>
      </c>
      <c r="S14" s="198">
        <f ca="1">SUM(INDIRECT(addresses!S14))/1000</f>
        <v>249.9323</v>
      </c>
      <c r="T14" s="198">
        <f ca="1">SUM(INDIRECT(addresses!T14))/1000</f>
        <v>538.91225</v>
      </c>
      <c r="U14" s="198">
        <f ca="1">SUM(INDIRECT(addresses!U14))/1000</f>
        <v>713.664</v>
      </c>
      <c r="V14" s="198">
        <f ca="1">SUM(INDIRECT(addresses!V14))/1000</f>
        <v>588.864</v>
      </c>
      <c r="W14" s="198">
        <f ca="1">SUM(INDIRECT(addresses!W14))/1000</f>
        <v>157.07</v>
      </c>
      <c r="X14" s="198">
        <f ca="1">SUM(INDIRECT(addresses!X14))/1000</f>
        <v>558.507</v>
      </c>
      <c r="Y14" s="198">
        <f ca="1">SUM(INDIRECT(addresses!Y14))/1000</f>
        <v>622.581</v>
      </c>
      <c r="Z14" s="198">
        <f ca="1">SUM(INDIRECT(addresses!Z14))/1000</f>
        <v>564.025</v>
      </c>
      <c r="AA14" s="198">
        <f ca="1">SUM(INDIRECT(addresses!AA14))/1000</f>
        <v>308.862</v>
      </c>
      <c r="AB14" s="198" t="e">
        <f ca="1">SUM(INDIRECT(addresses!AB14))/1000</f>
        <v>#N/A</v>
      </c>
      <c r="AD14" s="458">
        <f t="shared" si="2"/>
        <v>0.9663971477685112</v>
      </c>
    </row>
    <row r="15" spans="1:256" s="389" customFormat="1" ht="12.75">
      <c r="A15" s="200"/>
      <c r="B15" s="310" t="s">
        <v>26</v>
      </c>
      <c r="C15" s="347"/>
      <c r="D15" s="347"/>
      <c r="E15" s="198">
        <f ca="1">SUM(INDIRECT(addresses!E15))/1000</f>
        <v>3564.47</v>
      </c>
      <c r="F15" s="198">
        <f ca="1">SUM(INDIRECT(addresses!F15))/1000</f>
        <v>3680.526</v>
      </c>
      <c r="G15" s="198">
        <f ca="1">SUM(INDIRECT(addresses!G15))/1000</f>
        <v>1941.7665</v>
      </c>
      <c r="H15" s="198">
        <f ca="1">SUM(INDIRECT(addresses!H15))/1000</f>
        <v>2740.273</v>
      </c>
      <c r="I15" s="198">
        <f ca="1">SUM(INDIRECT(addresses!I15))/1000</f>
        <v>4938.916</v>
      </c>
      <c r="J15" s="198">
        <f ca="1">SUM(INDIRECT(addresses!J15))/1000</f>
        <v>4599.715</v>
      </c>
      <c r="K15" s="198">
        <f ca="1">SUM(INDIRECT(addresses!K15))/1000</f>
        <v>3145.992</v>
      </c>
      <c r="L15" s="198">
        <f ca="1">SUM(INDIRECT(addresses!L15))/1000</f>
        <v>4132.266</v>
      </c>
      <c r="M15" s="198">
        <f ca="1">SUM(INDIRECT(addresses!M15))/1000</f>
        <v>4321.9525</v>
      </c>
      <c r="N15" s="198">
        <f ca="1">SUM(INDIRECT(addresses!N15))/1000</f>
        <v>4796.9</v>
      </c>
      <c r="O15" s="198">
        <f ca="1">SUM(INDIRECT(addresses!O15))/1000</f>
        <v>3091.036</v>
      </c>
      <c r="P15" s="198">
        <f ca="1">SUM(INDIRECT(addresses!P15))/1000</f>
        <v>4416.212</v>
      </c>
      <c r="Q15" s="198">
        <f ca="1">SUM(INDIRECT(addresses!Q15))/1000</f>
        <v>4191.3705</v>
      </c>
      <c r="R15" s="198">
        <f ca="1">SUM(INDIRECT(addresses!R15))/1000</f>
        <v>4803.914</v>
      </c>
      <c r="S15" s="198">
        <f ca="1">SUM(INDIRECT(addresses!S15))/1000</f>
        <v>2999.6427999999996</v>
      </c>
      <c r="T15" s="198">
        <f ca="1">SUM(INDIRECT(addresses!T15))/1000</f>
        <v>4772.58025</v>
      </c>
      <c r="U15" s="198">
        <f ca="1">SUM(INDIRECT(addresses!U15))/1000</f>
        <v>5713.152</v>
      </c>
      <c r="V15" s="198">
        <f ca="1">SUM(INDIRECT(addresses!V15))/1000</f>
        <v>5104.219</v>
      </c>
      <c r="W15" s="198">
        <f ca="1">SUM(INDIRECT(addresses!W15))/1000</f>
        <v>2591.558</v>
      </c>
      <c r="X15" s="198">
        <f ca="1">SUM(INDIRECT(addresses!X15))/1000</f>
        <v>4985.867</v>
      </c>
      <c r="Y15" s="198">
        <f ca="1">SUM(INDIRECT(addresses!Y15))/1000</f>
        <v>5193.836</v>
      </c>
      <c r="Z15" s="198">
        <f ca="1">SUM(INDIRECT(addresses!Z15))/1000</f>
        <v>5500.1788</v>
      </c>
      <c r="AA15" s="198">
        <f ca="1">SUM(INDIRECT(addresses!AA15))/1000</f>
        <v>3977.812</v>
      </c>
      <c r="AB15" s="198" t="e">
        <f ca="1">SUM(INDIRECT(addresses!AB15))/1000</f>
        <v>#N/A</v>
      </c>
      <c r="AC15" s="388"/>
      <c r="AD15" s="458">
        <f t="shared" si="2"/>
        <v>0.5349114316561698</v>
      </c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  <c r="FP15" s="388"/>
      <c r="FQ15" s="388"/>
      <c r="FR15" s="388"/>
      <c r="FS15" s="388"/>
      <c r="FT15" s="388"/>
      <c r="FU15" s="388"/>
      <c r="FV15" s="388"/>
      <c r="FW15" s="388"/>
      <c r="FX15" s="388"/>
      <c r="FY15" s="388"/>
      <c r="FZ15" s="388"/>
      <c r="GA15" s="388"/>
      <c r="GB15" s="388"/>
      <c r="GC15" s="388"/>
      <c r="GD15" s="388"/>
      <c r="GE15" s="388"/>
      <c r="GF15" s="388"/>
      <c r="GG15" s="388"/>
      <c r="GH15" s="388"/>
      <c r="GI15" s="388"/>
      <c r="GJ15" s="388"/>
      <c r="GK15" s="388"/>
      <c r="GL15" s="388"/>
      <c r="GM15" s="388"/>
      <c r="GN15" s="388"/>
      <c r="GO15" s="388"/>
      <c r="GP15" s="388"/>
      <c r="GQ15" s="388"/>
      <c r="GR15" s="388"/>
      <c r="GS15" s="388"/>
      <c r="GT15" s="388"/>
      <c r="GU15" s="388"/>
      <c r="GV15" s="388"/>
      <c r="GW15" s="388"/>
      <c r="GX15" s="388"/>
      <c r="GY15" s="388"/>
      <c r="GZ15" s="388"/>
      <c r="HA15" s="388"/>
      <c r="HB15" s="388"/>
      <c r="HC15" s="388"/>
      <c r="HD15" s="388"/>
      <c r="HE15" s="388"/>
      <c r="HF15" s="388"/>
      <c r="HG15" s="388"/>
      <c r="HH15" s="388"/>
      <c r="HI15" s="388"/>
      <c r="HJ15" s="388"/>
      <c r="HK15" s="388"/>
      <c r="HL15" s="388"/>
      <c r="HM15" s="388"/>
      <c r="HN15" s="388"/>
      <c r="HO15" s="388"/>
      <c r="HP15" s="388"/>
      <c r="HQ15" s="388"/>
      <c r="HR15" s="388"/>
      <c r="HS15" s="388"/>
      <c r="HT15" s="388"/>
      <c r="HU15" s="388"/>
      <c r="HV15" s="388"/>
      <c r="HW15" s="388"/>
      <c r="HX15" s="388"/>
      <c r="HY15" s="388"/>
      <c r="HZ15" s="388"/>
      <c r="IA15" s="388"/>
      <c r="IB15" s="388"/>
      <c r="IC15" s="388"/>
      <c r="ID15" s="388"/>
      <c r="IE15" s="388"/>
      <c r="IF15" s="388"/>
      <c r="IG15" s="388"/>
      <c r="IH15" s="388"/>
      <c r="II15" s="388"/>
      <c r="IJ15" s="388"/>
      <c r="IK15" s="388"/>
      <c r="IL15" s="388"/>
      <c r="IM15" s="388"/>
      <c r="IN15" s="388"/>
      <c r="IO15" s="388"/>
      <c r="IP15" s="388"/>
      <c r="IQ15" s="388"/>
      <c r="IR15" s="388"/>
      <c r="IS15" s="388"/>
      <c r="IT15" s="388"/>
      <c r="IU15" s="388"/>
      <c r="IV15" s="388"/>
    </row>
    <row r="16" spans="1:256" s="389" customFormat="1" ht="12.75">
      <c r="A16" s="200"/>
      <c r="B16" s="310"/>
      <c r="C16" s="310"/>
      <c r="D16" s="310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388"/>
      <c r="AD16" s="45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  <c r="FP16" s="388"/>
      <c r="FQ16" s="388"/>
      <c r="FR16" s="388"/>
      <c r="FS16" s="388"/>
      <c r="FT16" s="388"/>
      <c r="FU16" s="388"/>
      <c r="FV16" s="388"/>
      <c r="FW16" s="388"/>
      <c r="FX16" s="388"/>
      <c r="FY16" s="388"/>
      <c r="FZ16" s="388"/>
      <c r="GA16" s="388"/>
      <c r="GB16" s="388"/>
      <c r="GC16" s="388"/>
      <c r="GD16" s="388"/>
      <c r="GE16" s="388"/>
      <c r="GF16" s="388"/>
      <c r="GG16" s="388"/>
      <c r="GH16" s="388"/>
      <c r="GI16" s="388"/>
      <c r="GJ16" s="388"/>
      <c r="GK16" s="388"/>
      <c r="GL16" s="388"/>
      <c r="GM16" s="388"/>
      <c r="GN16" s="388"/>
      <c r="GO16" s="388"/>
      <c r="GP16" s="388"/>
      <c r="GQ16" s="388"/>
      <c r="GR16" s="388"/>
      <c r="GS16" s="388"/>
      <c r="GT16" s="388"/>
      <c r="GU16" s="388"/>
      <c r="GV16" s="388"/>
      <c r="GW16" s="388"/>
      <c r="GX16" s="388"/>
      <c r="GY16" s="388"/>
      <c r="GZ16" s="388"/>
      <c r="HA16" s="388"/>
      <c r="HB16" s="388"/>
      <c r="HC16" s="388"/>
      <c r="HD16" s="388"/>
      <c r="HE16" s="388"/>
      <c r="HF16" s="388"/>
      <c r="HG16" s="388"/>
      <c r="HH16" s="388"/>
      <c r="HI16" s="388"/>
      <c r="HJ16" s="388"/>
      <c r="HK16" s="388"/>
      <c r="HL16" s="388"/>
      <c r="HM16" s="388"/>
      <c r="HN16" s="388"/>
      <c r="HO16" s="388"/>
      <c r="HP16" s="388"/>
      <c r="HQ16" s="388"/>
      <c r="HR16" s="388"/>
      <c r="HS16" s="388"/>
      <c r="HT16" s="388"/>
      <c r="HU16" s="388"/>
      <c r="HV16" s="388"/>
      <c r="HW16" s="388"/>
      <c r="HX16" s="388"/>
      <c r="HY16" s="388"/>
      <c r="HZ16" s="388"/>
      <c r="IA16" s="388"/>
      <c r="IB16" s="388"/>
      <c r="IC16" s="388"/>
      <c r="ID16" s="388"/>
      <c r="IE16" s="388"/>
      <c r="IF16" s="388"/>
      <c r="IG16" s="388"/>
      <c r="IH16" s="388"/>
      <c r="II16" s="388"/>
      <c r="IJ16" s="388"/>
      <c r="IK16" s="388"/>
      <c r="IL16" s="388"/>
      <c r="IM16" s="388"/>
      <c r="IN16" s="388"/>
      <c r="IO16" s="388"/>
      <c r="IP16" s="388"/>
      <c r="IQ16" s="388"/>
      <c r="IR16" s="388"/>
      <c r="IS16" s="388"/>
      <c r="IT16" s="388"/>
      <c r="IU16" s="388"/>
      <c r="IV16" s="388"/>
    </row>
    <row r="17" spans="1:30" s="388" customFormat="1" ht="12.75">
      <c r="A17" s="157"/>
      <c r="B17" s="157" t="s">
        <v>27</v>
      </c>
      <c r="C17" s="157"/>
      <c r="D17" s="157"/>
      <c r="E17" s="198">
        <f ca="1">SUM(INDIRECT(addresses!E17))/1000</f>
        <v>1021.162</v>
      </c>
      <c r="F17" s="198">
        <f ca="1">SUM(INDIRECT(addresses!F17))/1000</f>
        <v>1423.849</v>
      </c>
      <c r="G17" s="198">
        <f ca="1">SUM(INDIRECT(addresses!G17))/1000</f>
        <v>962.004</v>
      </c>
      <c r="H17" s="198">
        <f ca="1">SUM(INDIRECT(addresses!H17))/1000</f>
        <v>1638.57</v>
      </c>
      <c r="I17" s="198">
        <f ca="1">SUM(INDIRECT(addresses!I17))/1000</f>
        <v>1001.464</v>
      </c>
      <c r="J17" s="198">
        <f ca="1">SUM(INDIRECT(addresses!J17))/1000</f>
        <v>1118.556</v>
      </c>
      <c r="K17" s="198">
        <f ca="1">SUM(INDIRECT(addresses!K17))/1000</f>
        <v>673.295</v>
      </c>
      <c r="L17" s="198">
        <f ca="1">SUM(INDIRECT(addresses!L17))/1000</f>
        <v>868.304</v>
      </c>
      <c r="M17" s="198">
        <f ca="1">SUM(INDIRECT(addresses!M17))/1000</f>
        <v>746.175</v>
      </c>
      <c r="N17" s="198">
        <f ca="1">SUM(INDIRECT(addresses!N17))/1000</f>
        <v>966.994</v>
      </c>
      <c r="O17" s="198">
        <f ca="1">SUM(INDIRECT(addresses!O17))/1000</f>
        <v>462.37</v>
      </c>
      <c r="P17" s="198">
        <f ca="1">SUM(INDIRECT(addresses!P17))/1000</f>
        <v>747.761</v>
      </c>
      <c r="Q17" s="198">
        <f ca="1">SUM(INDIRECT(addresses!Q17))/1000</f>
        <v>982.175</v>
      </c>
      <c r="R17" s="198">
        <f ca="1">SUM(INDIRECT(addresses!R17))/1000</f>
        <v>1269.468</v>
      </c>
      <c r="S17" s="198">
        <f ca="1">SUM(INDIRECT(addresses!S17))/1000</f>
        <v>505.651</v>
      </c>
      <c r="T17" s="198">
        <f ca="1">SUM(INDIRECT(addresses!T17))/1000</f>
        <v>1010.317</v>
      </c>
      <c r="U17" s="198">
        <f ca="1">SUM(INDIRECT(addresses!U17))/1000</f>
        <v>1310.637</v>
      </c>
      <c r="V17" s="198">
        <f ca="1">SUM(INDIRECT(addresses!V17))/1000</f>
        <v>1263.746</v>
      </c>
      <c r="W17" s="198">
        <f ca="1">SUM(INDIRECT(addresses!W17))/1000</f>
        <v>417.508</v>
      </c>
      <c r="X17" s="198">
        <f ca="1">SUM(INDIRECT(addresses!X17))/1000</f>
        <v>862.189</v>
      </c>
      <c r="Y17" s="198">
        <f ca="1">SUM(INDIRECT(addresses!Y17))/1000</f>
        <v>722.475</v>
      </c>
      <c r="Z17" s="198">
        <f ca="1">SUM(INDIRECT(addresses!Z17))/1000</f>
        <v>978.083</v>
      </c>
      <c r="AA17" s="198">
        <f ca="1">SUM(INDIRECT(addresses!AA17))/1000</f>
        <v>785.366</v>
      </c>
      <c r="AB17" s="198" t="e">
        <f ca="1">SUM(INDIRECT(addresses!AB17))/1000</f>
        <v>#N/A</v>
      </c>
      <c r="AD17" s="458">
        <f t="shared" si="2"/>
        <v>0.8810801230156069</v>
      </c>
    </row>
    <row r="18" spans="1:30" s="388" customFormat="1" ht="12.75">
      <c r="A18" s="157"/>
      <c r="B18" s="157" t="s">
        <v>189</v>
      </c>
      <c r="C18" s="157"/>
      <c r="D18" s="157"/>
      <c r="E18" s="198">
        <f ca="1">SUM(INDIRECT(addresses!E18))/1000</f>
        <v>0</v>
      </c>
      <c r="F18" s="198">
        <f ca="1">SUM(INDIRECT(addresses!F18))/1000</f>
        <v>0</v>
      </c>
      <c r="G18" s="198">
        <f ca="1">SUM(INDIRECT(addresses!G18))/1000</f>
        <v>0</v>
      </c>
      <c r="H18" s="198">
        <f ca="1">SUM(INDIRECT(addresses!H18))/1000</f>
        <v>0</v>
      </c>
      <c r="I18" s="198">
        <f ca="1">SUM(INDIRECT(addresses!I18))/1000</f>
        <v>0</v>
      </c>
      <c r="J18" s="198">
        <f ca="1">SUM(INDIRECT(addresses!J18))/1000</f>
        <v>0</v>
      </c>
      <c r="K18" s="198">
        <f ca="1">SUM(INDIRECT(addresses!K18))/1000</f>
        <v>0</v>
      </c>
      <c r="L18" s="198">
        <f ca="1">SUM(INDIRECT(addresses!L18))/1000</f>
        <v>0</v>
      </c>
      <c r="M18" s="198">
        <f ca="1">SUM(INDIRECT(addresses!M18))/1000</f>
        <v>0</v>
      </c>
      <c r="N18" s="198">
        <f ca="1">SUM(INDIRECT(addresses!N18))/1000</f>
        <v>113.399</v>
      </c>
      <c r="O18" s="198">
        <f ca="1">SUM(INDIRECT(addresses!O18))/1000</f>
        <v>103.782</v>
      </c>
      <c r="P18" s="198">
        <f ca="1">SUM(INDIRECT(addresses!P18))/1000</f>
        <v>198.612</v>
      </c>
      <c r="Q18" s="198">
        <f ca="1">SUM(INDIRECT(addresses!Q18))/1000</f>
        <v>0</v>
      </c>
      <c r="R18" s="198">
        <f ca="1">SUM(INDIRECT(addresses!R18))/1000</f>
        <v>0</v>
      </c>
      <c r="S18" s="198">
        <f ca="1">SUM(INDIRECT(addresses!S18))/1000</f>
        <v>0</v>
      </c>
      <c r="T18" s="198">
        <f ca="1">SUM(INDIRECT(addresses!T18))/1000</f>
        <v>0</v>
      </c>
      <c r="U18" s="198">
        <f ca="1">SUM(INDIRECT(addresses!U18))/1000</f>
        <v>0</v>
      </c>
      <c r="V18" s="198">
        <f ca="1">SUM(INDIRECT(addresses!V18))/1000</f>
        <v>0</v>
      </c>
      <c r="W18" s="198">
        <f ca="1">SUM(INDIRECT(addresses!W18))/1000</f>
        <v>0</v>
      </c>
      <c r="X18" s="198">
        <f ca="1">SUM(INDIRECT(addresses!X18))/1000</f>
        <v>0</v>
      </c>
      <c r="Y18" s="198">
        <f ca="1">SUM(INDIRECT(addresses!Y18))/1000</f>
        <v>265.413</v>
      </c>
      <c r="Z18" s="198">
        <f ca="1">SUM(INDIRECT(addresses!Z18))/1000</f>
        <v>251.434</v>
      </c>
      <c r="AA18" s="198">
        <f ca="1">SUM(INDIRECT(addresses!AA18))/1000</f>
        <v>178.345</v>
      </c>
      <c r="AB18" s="198" t="e">
        <f ca="1">SUM(INDIRECT(addresses!AB18))/1000</f>
        <v>#N/A</v>
      </c>
      <c r="AD18" s="458"/>
    </row>
    <row r="19" spans="1:30" s="388" customFormat="1" ht="12.75">
      <c r="A19" s="157"/>
      <c r="B19" s="196" t="s">
        <v>28</v>
      </c>
      <c r="C19" s="196"/>
      <c r="D19" s="196"/>
      <c r="E19" s="198">
        <f ca="1">SUM(INDIRECT(addresses!E19))/1000</f>
        <v>4585.632</v>
      </c>
      <c r="F19" s="198">
        <f ca="1">SUM(INDIRECT(addresses!F19))/1000</f>
        <v>5104.375</v>
      </c>
      <c r="G19" s="198">
        <f ca="1">SUM(INDIRECT(addresses!G19))/1000</f>
        <v>2903.7705</v>
      </c>
      <c r="H19" s="198">
        <f ca="1">SUM(INDIRECT(addresses!H19))/1000</f>
        <v>4378.843</v>
      </c>
      <c r="I19" s="198">
        <f ca="1">SUM(INDIRECT(addresses!I19))/1000</f>
        <v>5940.38</v>
      </c>
      <c r="J19" s="198">
        <f ca="1">SUM(INDIRECT(addresses!J19))/1000</f>
        <v>5718.271</v>
      </c>
      <c r="K19" s="198">
        <f ca="1">SUM(INDIRECT(addresses!K19))/1000</f>
        <v>3819.287</v>
      </c>
      <c r="L19" s="198">
        <f ca="1">SUM(INDIRECT(addresses!L19))/1000</f>
        <v>5000.57</v>
      </c>
      <c r="M19" s="198">
        <f ca="1">SUM(INDIRECT(addresses!M19))/1000</f>
        <v>5068.1275</v>
      </c>
      <c r="N19" s="198">
        <f ca="1">SUM(INDIRECT(addresses!N19))/1000</f>
        <v>5877.293</v>
      </c>
      <c r="O19" s="198">
        <f ca="1">SUM(INDIRECT(addresses!O19))/1000</f>
        <v>3657.188</v>
      </c>
      <c r="P19" s="198">
        <f ca="1">SUM(INDIRECT(addresses!P19))/1000</f>
        <v>5362.585</v>
      </c>
      <c r="Q19" s="418">
        <f>Q20*Q49</f>
        <v>5327.690785118208</v>
      </c>
      <c r="R19" s="418">
        <f>R20*R49</f>
        <v>6083.746822882776</v>
      </c>
      <c r="S19" s="418">
        <f>S20*S49</f>
        <v>3138.8957109629205</v>
      </c>
      <c r="T19" s="198">
        <f ca="1">SUM(INDIRECT(addresses!T19))/1000</f>
        <v>5782.89725</v>
      </c>
      <c r="U19" s="198">
        <f ca="1">SUM(INDIRECT(addresses!U19))/1000</f>
        <v>7023.789</v>
      </c>
      <c r="V19" s="198">
        <f ca="1">SUM(INDIRECT(addresses!V19))/1000</f>
        <v>6367.965</v>
      </c>
      <c r="W19" s="198">
        <f ca="1">SUM(INDIRECT(addresses!W19))/1000</f>
        <v>3009.066</v>
      </c>
      <c r="X19" s="198">
        <f ca="1">SUM(INDIRECT(addresses!X19))/1000</f>
        <v>5848.056</v>
      </c>
      <c r="Y19" s="198">
        <f ca="1">SUM(INDIRECT(addresses!Y19))/1000</f>
        <v>5916.311</v>
      </c>
      <c r="Z19" s="198">
        <f ca="1">SUM(INDIRECT(addresses!Z19))/1000</f>
        <v>6478.2618</v>
      </c>
      <c r="AA19" s="198">
        <f ca="1">SUM(INDIRECT(addresses!AA19))/1000</f>
        <v>4763.178</v>
      </c>
      <c r="AB19" s="198" t="e">
        <f ca="1">SUM(INDIRECT(addresses!AB19))/1000</f>
        <v>#N/A</v>
      </c>
      <c r="AD19" s="458">
        <f t="shared" si="2"/>
        <v>0.5829423482236682</v>
      </c>
    </row>
    <row r="20" spans="1:28" s="388" customFormat="1" ht="12.75">
      <c r="A20" s="157"/>
      <c r="B20" s="197"/>
      <c r="C20" s="197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417">
        <f>'Summary CY A'!$M$20</f>
        <v>0.23297047002763308</v>
      </c>
      <c r="R20" s="417">
        <f>'Summary CY A'!$M$20</f>
        <v>0.23297047002763308</v>
      </c>
      <c r="S20" s="417">
        <f>'Summary CY A'!$M$20</f>
        <v>0.23297047002763308</v>
      </c>
      <c r="T20" s="417"/>
      <c r="U20" s="417"/>
      <c r="V20" s="417"/>
      <c r="W20" s="417"/>
      <c r="X20" s="417"/>
      <c r="Y20" s="417"/>
      <c r="Z20" s="417"/>
      <c r="AA20" s="417"/>
      <c r="AB20" s="417"/>
    </row>
    <row r="21" spans="1:28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</row>
    <row r="22" spans="1:28" ht="13.5" thickTop="1">
      <c r="A22" s="157"/>
      <c r="B22" s="201">
        <f ca="1">NOW()</f>
        <v>40948.65149502315</v>
      </c>
      <c r="C22" s="201"/>
      <c r="D22" s="201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</row>
    <row r="23" spans="1:28" ht="12.75">
      <c r="A23" s="202" t="s">
        <v>30</v>
      </c>
      <c r="B23" s="203" t="s">
        <v>97</v>
      </c>
      <c r="C23" s="203"/>
      <c r="D23" s="203"/>
      <c r="E23" s="204">
        <f aca="true" t="shared" si="3" ref="E23:J23">SUM(E6:E14)+E17-E19</f>
        <v>0</v>
      </c>
      <c r="F23" s="204">
        <f t="shared" si="3"/>
        <v>0</v>
      </c>
      <c r="G23" s="204">
        <f t="shared" si="3"/>
        <v>0</v>
      </c>
      <c r="H23" s="204">
        <f t="shared" si="3"/>
        <v>0</v>
      </c>
      <c r="I23" s="204">
        <f t="shared" si="3"/>
        <v>0</v>
      </c>
      <c r="J23" s="204">
        <f t="shared" si="3"/>
        <v>0</v>
      </c>
      <c r="K23" s="204">
        <f>SUM(K6:K14)+K17-K19</f>
        <v>0</v>
      </c>
      <c r="L23" s="204">
        <f>SUM(L6:L14)+L17-L19</f>
        <v>0</v>
      </c>
      <c r="M23" s="204">
        <f>SUM(M6:M14)+M17-M19</f>
        <v>0</v>
      </c>
      <c r="N23" s="204">
        <f>SUM(N6:N14,N17:N18)-N19</f>
        <v>0</v>
      </c>
      <c r="O23" s="204">
        <f aca="true" t="shared" si="4" ref="O23:V23">SUM(O6:O14,O17:O18)-O19</f>
        <v>0</v>
      </c>
      <c r="P23" s="204">
        <f t="shared" si="4"/>
        <v>0</v>
      </c>
      <c r="Q23" s="204">
        <f t="shared" si="4"/>
        <v>-154.14528511820754</v>
      </c>
      <c r="R23" s="204">
        <f t="shared" si="4"/>
        <v>-10.364822882776025</v>
      </c>
      <c r="S23" s="204">
        <f t="shared" si="4"/>
        <v>366.39808903707944</v>
      </c>
      <c r="T23" s="204">
        <f t="shared" si="4"/>
        <v>0</v>
      </c>
      <c r="U23" s="204">
        <f t="shared" si="4"/>
        <v>0</v>
      </c>
      <c r="V23" s="204">
        <f t="shared" si="4"/>
        <v>0</v>
      </c>
      <c r="W23" s="204">
        <f aca="true" t="shared" si="5" ref="W23:AB23">SUM(W6:W14,W17:W18)-W19</f>
        <v>0</v>
      </c>
      <c r="X23" s="204">
        <f t="shared" si="5"/>
        <v>0</v>
      </c>
      <c r="Y23" s="204">
        <f t="shared" si="5"/>
        <v>265.41300000000047</v>
      </c>
      <c r="Z23" s="204">
        <f t="shared" si="5"/>
        <v>251.4339999999993</v>
      </c>
      <c r="AA23" s="204">
        <f t="shared" si="5"/>
        <v>178.34500000000025</v>
      </c>
      <c r="AB23" s="204" t="e">
        <f t="shared" si="5"/>
        <v>#N/A</v>
      </c>
    </row>
    <row r="24" spans="1:28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</row>
    <row r="25" spans="1:28" ht="12.75">
      <c r="A25" s="157" t="s">
        <v>46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</row>
    <row r="26" spans="1:28" ht="12.75">
      <c r="A26" s="157"/>
      <c r="B26" s="157"/>
      <c r="C26" s="157"/>
      <c r="D26" s="157"/>
      <c r="E26" s="285">
        <v>2006</v>
      </c>
      <c r="F26" s="285">
        <v>2006</v>
      </c>
      <c r="G26" s="285">
        <v>2006</v>
      </c>
      <c r="H26" s="285">
        <v>2006</v>
      </c>
      <c r="I26" s="285">
        <f aca="true" t="shared" si="6" ref="I26:AB26">E26+1</f>
        <v>2007</v>
      </c>
      <c r="J26" s="285">
        <f t="shared" si="6"/>
        <v>2007</v>
      </c>
      <c r="K26" s="285">
        <f t="shared" si="6"/>
        <v>2007</v>
      </c>
      <c r="L26" s="285">
        <f t="shared" si="6"/>
        <v>2007</v>
      </c>
      <c r="M26" s="285">
        <f t="shared" si="6"/>
        <v>2008</v>
      </c>
      <c r="N26" s="285">
        <f t="shared" si="6"/>
        <v>2008</v>
      </c>
      <c r="O26" s="285">
        <f t="shared" si="6"/>
        <v>2008</v>
      </c>
      <c r="P26" s="285">
        <f t="shared" si="6"/>
        <v>2008</v>
      </c>
      <c r="Q26" s="285">
        <f t="shared" si="6"/>
        <v>2009</v>
      </c>
      <c r="R26" s="285">
        <f t="shared" si="6"/>
        <v>2009</v>
      </c>
      <c r="S26" s="285">
        <f t="shared" si="6"/>
        <v>2009</v>
      </c>
      <c r="T26" s="285">
        <f t="shared" si="6"/>
        <v>2009</v>
      </c>
      <c r="U26" s="285">
        <f t="shared" si="6"/>
        <v>2010</v>
      </c>
      <c r="V26" s="285">
        <f t="shared" si="6"/>
        <v>2010</v>
      </c>
      <c r="W26" s="285">
        <f t="shared" si="6"/>
        <v>2010</v>
      </c>
      <c r="X26" s="285">
        <f t="shared" si="6"/>
        <v>2010</v>
      </c>
      <c r="Y26" s="285">
        <f t="shared" si="6"/>
        <v>2011</v>
      </c>
      <c r="Z26" s="285">
        <f t="shared" si="6"/>
        <v>2011</v>
      </c>
      <c r="AA26" s="285">
        <f t="shared" si="6"/>
        <v>2011</v>
      </c>
      <c r="AB26" s="285">
        <f t="shared" si="6"/>
        <v>2011</v>
      </c>
    </row>
    <row r="27" spans="1:28" ht="13.5" thickBot="1">
      <c r="A27" s="157"/>
      <c r="B27" s="205" t="s">
        <v>100</v>
      </c>
      <c r="C27" s="205"/>
      <c r="D27" s="205"/>
      <c r="E27" s="390" t="s">
        <v>167</v>
      </c>
      <c r="F27" s="390" t="s">
        <v>168</v>
      </c>
      <c r="G27" s="390" t="s">
        <v>169</v>
      </c>
      <c r="H27" s="390" t="s">
        <v>170</v>
      </c>
      <c r="I27" s="390" t="str">
        <f aca="true" t="shared" si="7" ref="I27:U27">E27</f>
        <v>Q1</v>
      </c>
      <c r="J27" s="390" t="str">
        <f t="shared" si="7"/>
        <v>Q2</v>
      </c>
      <c r="K27" s="390" t="str">
        <f t="shared" si="7"/>
        <v>Q3</v>
      </c>
      <c r="L27" s="390" t="str">
        <f t="shared" si="7"/>
        <v>Q4</v>
      </c>
      <c r="M27" s="390" t="str">
        <f t="shared" si="7"/>
        <v>Q1</v>
      </c>
      <c r="N27" s="390" t="str">
        <f t="shared" si="7"/>
        <v>Q2</v>
      </c>
      <c r="O27" s="390" t="str">
        <f t="shared" si="7"/>
        <v>Q3</v>
      </c>
      <c r="P27" s="390" t="str">
        <f t="shared" si="7"/>
        <v>Q4</v>
      </c>
      <c r="Q27" s="390" t="str">
        <f t="shared" si="7"/>
        <v>Q1</v>
      </c>
      <c r="R27" s="390" t="str">
        <f t="shared" si="7"/>
        <v>Q2</v>
      </c>
      <c r="S27" s="390" t="str">
        <f t="shared" si="7"/>
        <v>Q3</v>
      </c>
      <c r="T27" s="390" t="str">
        <f t="shared" si="7"/>
        <v>Q4</v>
      </c>
      <c r="U27" s="390" t="str">
        <f t="shared" si="7"/>
        <v>Q1</v>
      </c>
      <c r="V27" s="390" t="str">
        <f aca="true" t="shared" si="8" ref="V27:AB27">R27</f>
        <v>Q2</v>
      </c>
      <c r="W27" s="390" t="str">
        <f t="shared" si="8"/>
        <v>Q3</v>
      </c>
      <c r="X27" s="390" t="str">
        <f t="shared" si="8"/>
        <v>Q4</v>
      </c>
      <c r="Y27" s="390" t="str">
        <f t="shared" si="8"/>
        <v>Q1</v>
      </c>
      <c r="Z27" s="390" t="str">
        <f t="shared" si="8"/>
        <v>Q2</v>
      </c>
      <c r="AA27" s="390" t="str">
        <f t="shared" si="8"/>
        <v>Q3</v>
      </c>
      <c r="AB27" s="390" t="str">
        <f t="shared" si="8"/>
        <v>Q4</v>
      </c>
    </row>
    <row r="28" spans="1:28" ht="14.25" thickBot="1" thickTop="1">
      <c r="A28" s="157"/>
      <c r="B28" s="127"/>
      <c r="C28" s="127"/>
      <c r="D28" s="127"/>
      <c r="E28" s="199" t="str">
        <f aca="true" t="shared" si="9" ref="E28:M28">E26&amp;E27</f>
        <v>2006Q1</v>
      </c>
      <c r="F28" s="199" t="str">
        <f t="shared" si="9"/>
        <v>2006Q2</v>
      </c>
      <c r="G28" s="199" t="str">
        <f t="shared" si="9"/>
        <v>2006Q3</v>
      </c>
      <c r="H28" s="199" t="str">
        <f t="shared" si="9"/>
        <v>2006Q4</v>
      </c>
      <c r="I28" s="199" t="str">
        <f t="shared" si="9"/>
        <v>2007Q1</v>
      </c>
      <c r="J28" s="199" t="str">
        <f t="shared" si="9"/>
        <v>2007Q2</v>
      </c>
      <c r="K28" s="199" t="str">
        <f t="shared" si="9"/>
        <v>2007Q3</v>
      </c>
      <c r="L28" s="199" t="str">
        <f t="shared" si="9"/>
        <v>2007Q4</v>
      </c>
      <c r="M28" s="199" t="str">
        <f t="shared" si="9"/>
        <v>2008Q1</v>
      </c>
      <c r="N28" s="199" t="str">
        <f aca="true" t="shared" si="10" ref="N28:U28">N26&amp;N27</f>
        <v>2008Q2</v>
      </c>
      <c r="O28" s="199" t="str">
        <f t="shared" si="10"/>
        <v>2008Q3</v>
      </c>
      <c r="P28" s="199" t="str">
        <f t="shared" si="10"/>
        <v>2008Q4</v>
      </c>
      <c r="Q28" s="199" t="str">
        <f t="shared" si="10"/>
        <v>2009Q1</v>
      </c>
      <c r="R28" s="199" t="str">
        <f t="shared" si="10"/>
        <v>2009Q2</v>
      </c>
      <c r="S28" s="199" t="str">
        <f t="shared" si="10"/>
        <v>2009Q3</v>
      </c>
      <c r="T28" s="199" t="str">
        <f t="shared" si="10"/>
        <v>2009Q4</v>
      </c>
      <c r="U28" s="199" t="str">
        <f t="shared" si="10"/>
        <v>2010Q1</v>
      </c>
      <c r="V28" s="199" t="str">
        <f aca="true" t="shared" si="11" ref="V28:AB28">V26&amp;V27</f>
        <v>2010Q2</v>
      </c>
      <c r="W28" s="199" t="str">
        <f t="shared" si="11"/>
        <v>2010Q3</v>
      </c>
      <c r="X28" s="199" t="str">
        <f t="shared" si="11"/>
        <v>2010Q4</v>
      </c>
      <c r="Y28" s="199" t="str">
        <f t="shared" si="11"/>
        <v>2011Q1</v>
      </c>
      <c r="Z28" s="199" t="str">
        <f t="shared" si="11"/>
        <v>2011Q2</v>
      </c>
      <c r="AA28" s="199" t="str">
        <f t="shared" si="11"/>
        <v>2011Q3</v>
      </c>
      <c r="AB28" s="199" t="str">
        <f t="shared" si="11"/>
        <v>2011Q4</v>
      </c>
    </row>
    <row r="29" spans="1:28" s="388" customFormat="1" ht="13.5" thickTop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0" spans="1:30" s="388" customFormat="1" ht="12.75">
      <c r="A30" s="157">
        <v>30</v>
      </c>
      <c r="B30" s="157" t="s">
        <v>17</v>
      </c>
      <c r="C30" s="157"/>
      <c r="D30" s="157"/>
      <c r="E30" s="198">
        <f ca="1">SUM(INDIRECT(addresses!E30))/1000</f>
        <v>2255.258</v>
      </c>
      <c r="F30" s="198">
        <f ca="1">SUM(INDIRECT(addresses!F30))/1000</f>
        <v>2144.006</v>
      </c>
      <c r="G30" s="198">
        <f ca="1">SUM(INDIRECT(addresses!G30))/1000</f>
        <v>1283.007</v>
      </c>
      <c r="H30" s="198">
        <f ca="1">SUM(INDIRECT(addresses!H30))/1000</f>
        <v>2388.216</v>
      </c>
      <c r="I30" s="198">
        <f ca="1">SUM(INDIRECT(addresses!I30))/1000</f>
        <v>2613.994</v>
      </c>
      <c r="J30" s="198">
        <f ca="1">SUM(INDIRECT(addresses!J30))/1000</f>
        <v>2343.488</v>
      </c>
      <c r="K30" s="198">
        <f ca="1">SUM(INDIRECT(addresses!K30))/1000</f>
        <v>1762.574</v>
      </c>
      <c r="L30" s="198">
        <f ca="1">SUM(INDIRECT(addresses!L30))/1000</f>
        <v>2489.276</v>
      </c>
      <c r="M30" s="198">
        <f ca="1">SUM(INDIRECT(addresses!M30))/1000</f>
        <v>2446.743</v>
      </c>
      <c r="N30" s="198">
        <f ca="1">SUM(INDIRECT(addresses!N30))/1000</f>
        <v>2491.507</v>
      </c>
      <c r="O30" s="198">
        <f ca="1">SUM(INDIRECT(addresses!O30))/1000</f>
        <v>1665.431</v>
      </c>
      <c r="P30" s="198">
        <f ca="1">SUM(INDIRECT(addresses!P30))/1000</f>
        <v>1959.84</v>
      </c>
      <c r="Q30" s="198">
        <f ca="1">SUM(INDIRECT(addresses!Q30))/1000</f>
        <v>2075.253</v>
      </c>
      <c r="R30" s="198">
        <f ca="1">SUM(INDIRECT(addresses!R30))/1000</f>
        <v>2400.739</v>
      </c>
      <c r="S30" s="198">
        <f ca="1">SUM(INDIRECT(addresses!S30))/1000</f>
        <v>1330.683</v>
      </c>
      <c r="T30" s="198">
        <f ca="1">SUM(INDIRECT(addresses!T30))/1000</f>
        <v>2655.329</v>
      </c>
      <c r="U30" s="198">
        <f ca="1">SUM(INDIRECT(addresses!U30))/1000</f>
        <v>2982.9</v>
      </c>
      <c r="V30" s="198">
        <f ca="1">SUM(INDIRECT(addresses!V30))/1000</f>
        <v>2458.308</v>
      </c>
      <c r="W30" s="198">
        <f ca="1">SUM(INDIRECT(addresses!W30))/1000</f>
        <v>1101.358</v>
      </c>
      <c r="X30" s="198">
        <f ca="1">SUM(INDIRECT(addresses!X30))/1000</f>
        <v>2730.228</v>
      </c>
      <c r="Y30" s="198">
        <f ca="1">SUM(INDIRECT(addresses!Y30))/1000</f>
        <v>2851.76</v>
      </c>
      <c r="Z30" s="198">
        <f ca="1">SUM(INDIRECT(addresses!Z30))/1000</f>
        <v>2694.1592</v>
      </c>
      <c r="AA30" s="198">
        <f ca="1">SUM(INDIRECT(addresses!AA30))/1000</f>
        <v>1893.911</v>
      </c>
      <c r="AB30" s="198" t="e">
        <f ca="1">SUM(INDIRECT(addresses!AB30))/1000</f>
        <v>#N/A</v>
      </c>
      <c r="AD30" s="458">
        <f aca="true" t="shared" si="12" ref="AD30:AD49">AA30/W30-1</f>
        <v>0.7196143306717708</v>
      </c>
    </row>
    <row r="31" spans="1:30" s="388" customFormat="1" ht="12.75">
      <c r="A31" s="157">
        <v>31</v>
      </c>
      <c r="B31" s="157" t="s">
        <v>18</v>
      </c>
      <c r="C31" s="157"/>
      <c r="D31" s="157"/>
      <c r="E31" s="198">
        <f ca="1">SUM(INDIRECT(addresses!E31))/1000</f>
        <v>1529.246</v>
      </c>
      <c r="F31" s="198">
        <f ca="1">SUM(INDIRECT(addresses!F31))/1000</f>
        <v>1504.721</v>
      </c>
      <c r="G31" s="198">
        <f ca="1">SUM(INDIRECT(addresses!G31))/1000</f>
        <v>829.736</v>
      </c>
      <c r="H31" s="198">
        <f ca="1">SUM(INDIRECT(addresses!H31))/1000</f>
        <v>1205.939</v>
      </c>
      <c r="I31" s="198">
        <f ca="1">SUM(INDIRECT(addresses!I31))/1000</f>
        <v>2240.46</v>
      </c>
      <c r="J31" s="198">
        <f ca="1">SUM(INDIRECT(addresses!J31))/1000</f>
        <v>1919.528</v>
      </c>
      <c r="K31" s="198">
        <f ca="1">SUM(INDIRECT(addresses!K31))/1000</f>
        <v>1371.432</v>
      </c>
      <c r="L31" s="198">
        <f ca="1">SUM(INDIRECT(addresses!L31))/1000</f>
        <v>1679.748</v>
      </c>
      <c r="M31" s="198">
        <f ca="1">SUM(INDIRECT(addresses!M31))/1000</f>
        <v>1835.62</v>
      </c>
      <c r="N31" s="198">
        <f ca="1">SUM(INDIRECT(addresses!N31))/1000</f>
        <v>2276.914</v>
      </c>
      <c r="O31" s="198">
        <f ca="1">SUM(INDIRECT(addresses!O31))/1000</f>
        <v>1347.803</v>
      </c>
      <c r="P31" s="198">
        <f ca="1">SUM(INDIRECT(addresses!P31))/1000</f>
        <v>2002.369</v>
      </c>
      <c r="Q31" s="198">
        <f ca="1">SUM(INDIRECT(addresses!Q31))/1000</f>
        <v>1917.897</v>
      </c>
      <c r="R31" s="198">
        <f ca="1">SUM(INDIRECT(addresses!R31))/1000</f>
        <v>2066.052</v>
      </c>
      <c r="S31" s="198">
        <f ca="1">SUM(INDIRECT(addresses!S31))/1000</f>
        <v>1015.255</v>
      </c>
      <c r="T31" s="198">
        <f ca="1">SUM(INDIRECT(addresses!T31))/1000</f>
        <v>1844.647</v>
      </c>
      <c r="U31" s="198">
        <f ca="1">SUM(INDIRECT(addresses!U31))/1000</f>
        <v>2585.088</v>
      </c>
      <c r="V31" s="198">
        <f ca="1">SUM(INDIRECT(addresses!V31))/1000</f>
        <v>2293.056</v>
      </c>
      <c r="W31" s="198">
        <f ca="1">SUM(INDIRECT(addresses!W31))/1000</f>
        <v>1039.247</v>
      </c>
      <c r="X31" s="198">
        <f ca="1">SUM(INDIRECT(addresses!X31))/1000</f>
        <v>2306.898</v>
      </c>
      <c r="Y31" s="198">
        <f ca="1">SUM(INDIRECT(addresses!Y31))/1000</f>
        <v>2348.828</v>
      </c>
      <c r="Z31" s="198">
        <f ca="1">SUM(INDIRECT(addresses!Z31))/1000</f>
        <v>2388.05961</v>
      </c>
      <c r="AA31" s="198">
        <f ca="1">SUM(INDIRECT(addresses!AA31))/1000</f>
        <v>2019.479</v>
      </c>
      <c r="AB31" s="198" t="e">
        <f ca="1">SUM(INDIRECT(addresses!AB31))/1000</f>
        <v>#N/A</v>
      </c>
      <c r="AD31" s="458">
        <f t="shared" si="12"/>
        <v>0.9432136922213872</v>
      </c>
    </row>
    <row r="32" spans="1:30" s="388" customFormat="1" ht="12.75">
      <c r="A32" s="157">
        <v>32</v>
      </c>
      <c r="B32" s="157" t="s">
        <v>19</v>
      </c>
      <c r="C32" s="157"/>
      <c r="D32" s="157"/>
      <c r="E32" s="198">
        <f ca="1">SUM(INDIRECT(addresses!E32))/1000</f>
        <v>1472.275</v>
      </c>
      <c r="F32" s="198">
        <f ca="1">SUM(INDIRECT(addresses!F32))/1000</f>
        <v>1772.473</v>
      </c>
      <c r="G32" s="198">
        <f ca="1">SUM(INDIRECT(addresses!G32))/1000</f>
        <v>1206.264</v>
      </c>
      <c r="H32" s="198">
        <f ca="1">SUM(INDIRECT(addresses!H32))/1000</f>
        <v>1397.112</v>
      </c>
      <c r="I32" s="198">
        <f ca="1">SUM(INDIRECT(addresses!I32))/1000</f>
        <v>2271.647</v>
      </c>
      <c r="J32" s="198">
        <f ca="1">SUM(INDIRECT(addresses!J32))/1000</f>
        <v>2080.2</v>
      </c>
      <c r="K32" s="198">
        <f ca="1">SUM(INDIRECT(addresses!K32))/1000</f>
        <v>1305.966</v>
      </c>
      <c r="L32" s="198">
        <f ca="1">SUM(INDIRECT(addresses!L32))/1000</f>
        <v>1751.932</v>
      </c>
      <c r="M32" s="198">
        <f ca="1">SUM(INDIRECT(addresses!M32))/1000</f>
        <v>1918.662</v>
      </c>
      <c r="N32" s="198">
        <f ca="1">SUM(INDIRECT(addresses!N32))/1000</f>
        <v>2159.113</v>
      </c>
      <c r="O32" s="198">
        <f ca="1">SUM(INDIRECT(addresses!O32))/1000</f>
        <v>1376.877</v>
      </c>
      <c r="P32" s="198">
        <f ca="1">SUM(INDIRECT(addresses!P32))/1000</f>
        <v>1997.089</v>
      </c>
      <c r="Q32" s="198">
        <f ca="1">SUM(INDIRECT(addresses!Q32))/1000</f>
        <v>2059.773</v>
      </c>
      <c r="R32" s="198">
        <f ca="1">SUM(INDIRECT(addresses!R32))/1000</f>
        <v>2345.313</v>
      </c>
      <c r="S32" s="198">
        <f ca="1">SUM(INDIRECT(addresses!S32))/1000</f>
        <v>1245.495</v>
      </c>
      <c r="T32" s="198">
        <f ca="1">SUM(INDIRECT(addresses!T32))/1000</f>
        <v>2122.879</v>
      </c>
      <c r="U32" s="198">
        <f ca="1">SUM(INDIRECT(addresses!U32))/1000</f>
        <v>2526.097</v>
      </c>
      <c r="V32" s="198">
        <f ca="1">SUM(INDIRECT(addresses!V32))/1000</f>
        <v>2439.451</v>
      </c>
      <c r="W32" s="198">
        <f ca="1">SUM(INDIRECT(addresses!W32))/1000</f>
        <v>1167.837</v>
      </c>
      <c r="X32" s="198">
        <f ca="1">SUM(INDIRECT(addresses!X32))/1000</f>
        <v>1995.62</v>
      </c>
      <c r="Y32" s="198">
        <f ca="1">SUM(INDIRECT(addresses!Y32))/1000</f>
        <v>2088.949</v>
      </c>
      <c r="Z32" s="198">
        <f ca="1">SUM(INDIRECT(addresses!Z32))/1000</f>
        <v>2222.895</v>
      </c>
      <c r="AA32" s="198">
        <f ca="1">SUM(INDIRECT(addresses!AA32))/1000</f>
        <v>1749.041</v>
      </c>
      <c r="AB32" s="198" t="e">
        <f ca="1">SUM(INDIRECT(addresses!AB32))/1000</f>
        <v>#N/A</v>
      </c>
      <c r="AD32" s="458">
        <f t="shared" si="12"/>
        <v>0.497675617402086</v>
      </c>
    </row>
    <row r="33" spans="1:30" s="388" customFormat="1" ht="12.75">
      <c r="A33" s="157">
        <v>33</v>
      </c>
      <c r="B33" s="157" t="s">
        <v>105</v>
      </c>
      <c r="C33" s="157"/>
      <c r="D33" s="157"/>
      <c r="E33" s="198">
        <f ca="1">SUM(INDIRECT(addresses!E33))/1000</f>
        <v>1166.14</v>
      </c>
      <c r="F33" s="198">
        <f ca="1">SUM(INDIRECT(addresses!F33))/1000</f>
        <v>1433.855</v>
      </c>
      <c r="G33" s="198">
        <f ca="1">SUM(INDIRECT(addresses!G33))/1000</f>
        <v>559.385</v>
      </c>
      <c r="H33" s="198">
        <f ca="1">SUM(INDIRECT(addresses!H33))/1000</f>
        <v>1167.122</v>
      </c>
      <c r="I33" s="198">
        <f ca="1">SUM(INDIRECT(addresses!I33))/1000</f>
        <v>1940.491</v>
      </c>
      <c r="J33" s="198">
        <f ca="1">SUM(INDIRECT(addresses!J33))/1000</f>
        <v>1876.455</v>
      </c>
      <c r="K33" s="198">
        <f ca="1">SUM(INDIRECT(addresses!K33))/1000</f>
        <v>1264.005</v>
      </c>
      <c r="L33" s="198">
        <f ca="1">SUM(INDIRECT(addresses!L33))/1000</f>
        <v>1789.596</v>
      </c>
      <c r="M33" s="198">
        <f ca="1">SUM(INDIRECT(addresses!M33))/1000</f>
        <v>2243.449</v>
      </c>
      <c r="N33" s="198">
        <f ca="1">SUM(INDIRECT(addresses!N33))/1000</f>
        <v>2261.304</v>
      </c>
      <c r="O33" s="198">
        <f ca="1">SUM(INDIRECT(addresses!O33))/1000</f>
        <v>1050.911</v>
      </c>
      <c r="P33" s="198">
        <f ca="1">SUM(INDIRECT(addresses!P33))/1000</f>
        <v>1856.218</v>
      </c>
      <c r="Q33" s="198">
        <f ca="1">SUM(INDIRECT(addresses!Q33))/1000</f>
        <v>1999.454</v>
      </c>
      <c r="R33" s="198">
        <f ca="1">SUM(INDIRECT(addresses!R33))/1000</f>
        <v>2029.182</v>
      </c>
      <c r="S33" s="198">
        <f ca="1">SUM(INDIRECT(addresses!S33))/1000</f>
        <v>758.423</v>
      </c>
      <c r="T33" s="198">
        <f ca="1">SUM(INDIRECT(addresses!T33))/1000</f>
        <v>1749.507</v>
      </c>
      <c r="U33" s="198">
        <f ca="1">SUM(INDIRECT(addresses!U33))/1000</f>
        <v>2615.518</v>
      </c>
      <c r="V33" s="198">
        <f ca="1">SUM(INDIRECT(addresses!V33))/1000</f>
        <v>2037.298</v>
      </c>
      <c r="W33" s="198">
        <f ca="1">SUM(INDIRECT(addresses!W33))/1000</f>
        <v>854.076</v>
      </c>
      <c r="X33" s="198">
        <f ca="1">SUM(INDIRECT(addresses!X33))/1000</f>
        <v>1771.239</v>
      </c>
      <c r="Y33" s="198">
        <f ca="1">SUM(INDIRECT(addresses!Y33))/1000</f>
        <v>2619.809</v>
      </c>
      <c r="Z33" s="198">
        <f ca="1">SUM(INDIRECT(addresses!Z33))/1000</f>
        <v>2770.42</v>
      </c>
      <c r="AA33" s="198">
        <f ca="1">SUM(INDIRECT(addresses!AA33))/1000</f>
        <v>1520.684</v>
      </c>
      <c r="AB33" s="198" t="e">
        <f ca="1">SUM(INDIRECT(addresses!AB33))/1000</f>
        <v>#N/A</v>
      </c>
      <c r="AD33" s="458">
        <f t="shared" si="12"/>
        <v>0.7805019693797741</v>
      </c>
    </row>
    <row r="34" spans="1:30" s="388" customFormat="1" ht="12.75">
      <c r="A34" s="157">
        <v>34</v>
      </c>
      <c r="B34" s="157" t="s">
        <v>112</v>
      </c>
      <c r="C34" s="157"/>
      <c r="D34" s="157"/>
      <c r="E34" s="198">
        <f ca="1">SUM(INDIRECT(addresses!E34))/1000</f>
        <v>244.355</v>
      </c>
      <c r="F34" s="198">
        <f ca="1">SUM(INDIRECT(addresses!F34))/1000</f>
        <v>0</v>
      </c>
      <c r="G34" s="198">
        <f ca="1">SUM(INDIRECT(addresses!G34))/1000</f>
        <v>0</v>
      </c>
      <c r="H34" s="198">
        <f ca="1">SUM(INDIRECT(addresses!H34))/1000</f>
        <v>0</v>
      </c>
      <c r="I34" s="198">
        <f ca="1">SUM(INDIRECT(addresses!I34))/1000</f>
        <v>774.722</v>
      </c>
      <c r="J34" s="198">
        <f ca="1">SUM(INDIRECT(addresses!J34))/1000</f>
        <v>666.456</v>
      </c>
      <c r="K34" s="198">
        <f ca="1">SUM(INDIRECT(addresses!K34))/1000</f>
        <v>495.088</v>
      </c>
      <c r="L34" s="198">
        <f ca="1">SUM(INDIRECT(addresses!L34))/1000</f>
        <v>732.647</v>
      </c>
      <c r="M34" s="198">
        <f ca="1">SUM(INDIRECT(addresses!M34))/1000</f>
        <v>0</v>
      </c>
      <c r="N34" s="198">
        <f ca="1">SUM(INDIRECT(addresses!N34))/1000</f>
        <v>0</v>
      </c>
      <c r="O34" s="198">
        <f ca="1">SUM(INDIRECT(addresses!O34))/1000</f>
        <v>0</v>
      </c>
      <c r="P34" s="198">
        <f ca="1">SUM(INDIRECT(addresses!P34))/1000</f>
        <v>0</v>
      </c>
      <c r="Q34" s="198">
        <f ca="1">SUM(INDIRECT(addresses!Q34))/1000</f>
        <v>897.191</v>
      </c>
      <c r="R34" s="198">
        <f ca="1">SUM(INDIRECT(addresses!R34))/1000</f>
        <v>1168.795</v>
      </c>
      <c r="S34" s="198">
        <f ca="1">SUM(INDIRECT(addresses!S34))/1000</f>
        <v>544.643</v>
      </c>
      <c r="T34" s="198">
        <f ca="1">SUM(INDIRECT(addresses!T34))/1000</f>
        <v>911.224</v>
      </c>
      <c r="U34" s="198">
        <f ca="1">SUM(INDIRECT(addresses!U34))/1000</f>
        <v>1231.771</v>
      </c>
      <c r="V34" s="198">
        <f ca="1">SUM(INDIRECT(addresses!V34))/1000</f>
        <v>1202.15</v>
      </c>
      <c r="W34" s="198">
        <f ca="1">SUM(INDIRECT(addresses!W34))/1000</f>
        <v>591.347</v>
      </c>
      <c r="X34" s="198">
        <f ca="1">SUM(INDIRECT(addresses!X34))/1000</f>
        <v>941.096</v>
      </c>
      <c r="Y34" s="198">
        <f ca="1">SUM(INDIRECT(addresses!Y34))/1000</f>
        <v>1028.086</v>
      </c>
      <c r="Z34" s="198">
        <f ca="1">SUM(INDIRECT(addresses!Z34))/1000</f>
        <v>972.96</v>
      </c>
      <c r="AA34" s="198">
        <f ca="1">SUM(INDIRECT(addresses!AA34))/1000</f>
        <v>636.876</v>
      </c>
      <c r="AB34" s="198" t="e">
        <f ca="1">SUM(INDIRECT(addresses!AB34))/1000</f>
        <v>#N/A</v>
      </c>
      <c r="AD34" s="458">
        <f t="shared" si="12"/>
        <v>0.07699201991385762</v>
      </c>
    </row>
    <row r="35" spans="1:30" s="388" customFormat="1" ht="12.75">
      <c r="A35" s="157">
        <v>35</v>
      </c>
      <c r="B35" s="157" t="s">
        <v>21</v>
      </c>
      <c r="C35" s="157"/>
      <c r="D35" s="157"/>
      <c r="E35" s="198">
        <f ca="1">SUM(INDIRECT(addresses!E35))/1000</f>
        <v>2632.315</v>
      </c>
      <c r="F35" s="198">
        <f ca="1">SUM(INDIRECT(addresses!F35))/1000</f>
        <v>3311.952</v>
      </c>
      <c r="G35" s="198">
        <f ca="1">SUM(INDIRECT(addresses!G35))/1000</f>
        <v>1897.505</v>
      </c>
      <c r="H35" s="198">
        <f ca="1">SUM(INDIRECT(addresses!H35))/1000</f>
        <v>3306.944</v>
      </c>
      <c r="I35" s="198">
        <f ca="1">SUM(INDIRECT(addresses!I35))/1000</f>
        <v>4211.753</v>
      </c>
      <c r="J35" s="198">
        <f ca="1">SUM(INDIRECT(addresses!J35))/1000</f>
        <v>3906.17</v>
      </c>
      <c r="K35" s="198">
        <f ca="1">SUM(INDIRECT(addresses!K35))/1000</f>
        <v>2235.544</v>
      </c>
      <c r="L35" s="198">
        <f ca="1">SUM(INDIRECT(addresses!L35))/1000</f>
        <v>3551.067</v>
      </c>
      <c r="M35" s="198">
        <f ca="1">SUM(INDIRECT(addresses!M35))/1000</f>
        <v>3347.19</v>
      </c>
      <c r="N35" s="198">
        <f ca="1">SUM(INDIRECT(addresses!N35))/1000</f>
        <v>3938.657</v>
      </c>
      <c r="O35" s="198">
        <f ca="1">SUM(INDIRECT(addresses!O35))/1000</f>
        <v>2342.474</v>
      </c>
      <c r="P35" s="198">
        <f ca="1">SUM(INDIRECT(addresses!P35))/1000</f>
        <v>4049.987</v>
      </c>
      <c r="Q35" s="198">
        <f ca="1">SUM(INDIRECT(addresses!Q35))/1000</f>
        <v>3467.914</v>
      </c>
      <c r="R35" s="198">
        <f ca="1">SUM(INDIRECT(addresses!R35))/1000</f>
        <v>4072.782</v>
      </c>
      <c r="S35" s="198">
        <f ca="1">SUM(INDIRECT(addresses!S35))/1000</f>
        <v>2347.701</v>
      </c>
      <c r="T35" s="198">
        <f ca="1">SUM(INDIRECT(addresses!T35))/1000</f>
        <v>4462.35</v>
      </c>
      <c r="U35" s="198">
        <f ca="1">SUM(INDIRECT(addresses!U35))/1000</f>
        <v>4663.702</v>
      </c>
      <c r="V35" s="198">
        <f ca="1">SUM(INDIRECT(addresses!V35))/1000</f>
        <v>4184.897</v>
      </c>
      <c r="W35" s="198">
        <f ca="1">SUM(INDIRECT(addresses!W35))/1000</f>
        <v>1603.716</v>
      </c>
      <c r="X35" s="198">
        <f ca="1">SUM(INDIRECT(addresses!X35))/1000</f>
        <v>3930.943</v>
      </c>
      <c r="Y35" s="198">
        <f ca="1">SUM(INDIRECT(addresses!Y35))/1000</f>
        <v>3817.662</v>
      </c>
      <c r="Z35" s="198">
        <f ca="1">SUM(INDIRECT(addresses!Z35))/1000</f>
        <v>4476.254</v>
      </c>
      <c r="AA35" s="198">
        <f ca="1">SUM(INDIRECT(addresses!AA35))/1000</f>
        <v>3322.229</v>
      </c>
      <c r="AB35" s="198" t="e">
        <f ca="1">SUM(INDIRECT(addresses!AB35))/1000</f>
        <v>#N/A</v>
      </c>
      <c r="AD35" s="458">
        <f t="shared" si="12"/>
        <v>1.0715818760927744</v>
      </c>
    </row>
    <row r="36" spans="1:30" s="388" customFormat="1" ht="12.75">
      <c r="A36" s="157">
        <v>36</v>
      </c>
      <c r="B36" s="157" t="s">
        <v>22</v>
      </c>
      <c r="C36" s="157"/>
      <c r="D36" s="157"/>
      <c r="E36" s="198">
        <f ca="1">SUM(INDIRECT(addresses!E36))/1000</f>
        <v>1140.62</v>
      </c>
      <c r="F36" s="198">
        <f ca="1">SUM(INDIRECT(addresses!F36))/1000</f>
        <v>1025.411</v>
      </c>
      <c r="G36" s="198">
        <f ca="1">SUM(INDIRECT(addresses!G36))/1000</f>
        <v>173.085</v>
      </c>
      <c r="H36" s="198">
        <f ca="1">SUM(INDIRECT(addresses!H36))/1000</f>
        <v>0</v>
      </c>
      <c r="I36" s="198">
        <f ca="1">SUM(INDIRECT(addresses!I36))/1000</f>
        <v>1052.367</v>
      </c>
      <c r="J36" s="198">
        <f ca="1">SUM(INDIRECT(addresses!J36))/1000</f>
        <v>1494.849</v>
      </c>
      <c r="K36" s="198">
        <f ca="1">SUM(INDIRECT(addresses!K36))/1000</f>
        <v>1037.33</v>
      </c>
      <c r="L36" s="198">
        <f ca="1">SUM(INDIRECT(addresses!L36))/1000</f>
        <v>954.406</v>
      </c>
      <c r="M36" s="198">
        <f ca="1">SUM(INDIRECT(addresses!M36))/1000</f>
        <v>0</v>
      </c>
      <c r="N36" s="198">
        <f ca="1">SUM(INDIRECT(addresses!N36))/1000</f>
        <v>0</v>
      </c>
      <c r="O36" s="198">
        <f ca="1">SUM(INDIRECT(addresses!O36))/1000</f>
        <v>0</v>
      </c>
      <c r="P36" s="198">
        <f ca="1">SUM(INDIRECT(addresses!P36))/1000</f>
        <v>0</v>
      </c>
      <c r="Q36" s="198">
        <f ca="1">SUM(INDIRECT(addresses!Q36))/1000</f>
        <v>855.731</v>
      </c>
      <c r="R36" s="198">
        <f ca="1">SUM(INDIRECT(addresses!R36))/1000</f>
        <v>1093.71</v>
      </c>
      <c r="S36" s="198">
        <f ca="1">SUM(INDIRECT(addresses!S36))/1000</f>
        <v>745.072</v>
      </c>
      <c r="T36" s="198">
        <f ca="1">SUM(INDIRECT(addresses!T36))/1000</f>
        <v>960.56</v>
      </c>
      <c r="U36" s="198">
        <f ca="1">SUM(INDIRECT(addresses!U36))/1000</f>
        <v>1194.287</v>
      </c>
      <c r="V36" s="198">
        <f ca="1">SUM(INDIRECT(addresses!V36))/1000</f>
        <v>1048.88</v>
      </c>
      <c r="W36" s="198">
        <f ca="1">SUM(INDIRECT(addresses!W36))/1000</f>
        <v>611.689</v>
      </c>
      <c r="X36" s="198">
        <f ca="1">SUM(INDIRECT(addresses!X36))/1000</f>
        <v>1086.688</v>
      </c>
      <c r="Y36" s="198">
        <f ca="1">SUM(INDIRECT(addresses!Y36))/1000</f>
        <v>945.098</v>
      </c>
      <c r="Z36" s="198">
        <f ca="1">SUM(INDIRECT(addresses!Z36))/1000</f>
        <v>1177.037</v>
      </c>
      <c r="AA36" s="198">
        <f ca="1">SUM(INDIRECT(addresses!AA36))/1000</f>
        <v>799.429</v>
      </c>
      <c r="AB36" s="198" t="e">
        <f ca="1">SUM(INDIRECT(addresses!AB36))/1000</f>
        <v>#N/A</v>
      </c>
      <c r="AD36" s="458">
        <f t="shared" si="12"/>
        <v>0.3069206737410679</v>
      </c>
    </row>
    <row r="37" spans="1:30" s="388" customFormat="1" ht="12.75">
      <c r="A37" s="157">
        <v>37</v>
      </c>
      <c r="B37" s="157" t="s">
        <v>24</v>
      </c>
      <c r="C37" s="157"/>
      <c r="D37" s="157"/>
      <c r="E37" s="198">
        <f ca="1">SUM(INDIRECT(addresses!E37))/1000</f>
        <v>1812.715</v>
      </c>
      <c r="F37" s="198">
        <f ca="1">SUM(INDIRECT(addresses!F37))/1000</f>
        <v>1774.675</v>
      </c>
      <c r="G37" s="198">
        <f ca="1">SUM(INDIRECT(addresses!G37))/1000</f>
        <v>387.6</v>
      </c>
      <c r="H37" s="198">
        <f ca="1">SUM(INDIRECT(addresses!H37))/1000</f>
        <v>0</v>
      </c>
      <c r="I37" s="198">
        <f ca="1">SUM(INDIRECT(addresses!I37))/1000</f>
        <v>1777.584</v>
      </c>
      <c r="J37" s="198">
        <f ca="1">SUM(INDIRECT(addresses!J37))/1000</f>
        <v>1223.095</v>
      </c>
      <c r="K37" s="198">
        <f ca="1">SUM(INDIRECT(addresses!K37))/1000</f>
        <v>925.94</v>
      </c>
      <c r="L37" s="198">
        <f ca="1">SUM(INDIRECT(addresses!L37))/1000</f>
        <v>1301.722</v>
      </c>
      <c r="M37" s="198">
        <f ca="1">SUM(INDIRECT(addresses!M37))/1000</f>
        <v>0</v>
      </c>
      <c r="N37" s="198">
        <f ca="1">SUM(INDIRECT(addresses!N37))/1000</f>
        <v>0</v>
      </c>
      <c r="O37" s="198">
        <f ca="1">SUM(INDIRECT(addresses!O37))/1000</f>
        <v>0</v>
      </c>
      <c r="P37" s="198">
        <f ca="1">SUM(INDIRECT(addresses!P37))/1000</f>
        <v>0</v>
      </c>
      <c r="Q37" s="198">
        <f ca="1">SUM(INDIRECT(addresses!Q37))/1000</f>
        <v>1759.779</v>
      </c>
      <c r="R37" s="198">
        <f ca="1">SUM(INDIRECT(addresses!R37))/1000</f>
        <v>2011.319</v>
      </c>
      <c r="S37" s="198">
        <f ca="1">SUM(INDIRECT(addresses!S37))/1000</f>
        <v>1841.717</v>
      </c>
      <c r="T37" s="198">
        <f ca="1">SUM(INDIRECT(addresses!T37))/1000</f>
        <v>1970.709</v>
      </c>
      <c r="U37" s="198">
        <f ca="1">SUM(INDIRECT(addresses!U37))/1000</f>
        <v>2727.264</v>
      </c>
      <c r="V37" s="198">
        <f ca="1">SUM(INDIRECT(addresses!V37))/1000</f>
        <v>2487.284</v>
      </c>
      <c r="W37" s="198">
        <f ca="1">SUM(INDIRECT(addresses!W37))/1000</f>
        <v>1666.149</v>
      </c>
      <c r="X37" s="198">
        <f ca="1">SUM(INDIRECT(addresses!X37))/1000</f>
        <v>2467.127</v>
      </c>
      <c r="Y37" s="198">
        <f ca="1">SUM(INDIRECT(addresses!Y37))/1000</f>
        <v>2116.336</v>
      </c>
      <c r="Z37" s="198">
        <f ca="1">SUM(INDIRECT(addresses!Z37))/1000</f>
        <v>2511.323</v>
      </c>
      <c r="AA37" s="198">
        <f ca="1">SUM(INDIRECT(addresses!AA37))/1000</f>
        <v>1878.367</v>
      </c>
      <c r="AB37" s="198" t="e">
        <f ca="1">SUM(INDIRECT(addresses!AB37))/1000</f>
        <v>#N/A</v>
      </c>
      <c r="AD37" s="458">
        <f t="shared" si="12"/>
        <v>0.12737036123419943</v>
      </c>
    </row>
    <row r="38" spans="1:30" s="388" customFormat="1" ht="12.75">
      <c r="A38" s="157">
        <v>38</v>
      </c>
      <c r="B38" s="157" t="s">
        <v>23</v>
      </c>
      <c r="C38" s="157"/>
      <c r="D38" s="157"/>
      <c r="E38" s="198">
        <f ca="1">SUM(INDIRECT(addresses!E38))/1000</f>
        <v>0</v>
      </c>
      <c r="F38" s="198">
        <f ca="1">SUM(INDIRECT(addresses!F38))/1000</f>
        <v>0</v>
      </c>
      <c r="G38" s="198">
        <f ca="1">SUM(INDIRECT(addresses!G38))/1000</f>
        <v>0</v>
      </c>
      <c r="H38" s="198">
        <f ca="1">SUM(INDIRECT(addresses!H38))/1000</f>
        <v>0</v>
      </c>
      <c r="I38" s="198">
        <f ca="1">SUM(INDIRECT(addresses!I38))/1000</f>
        <v>0</v>
      </c>
      <c r="J38" s="198">
        <f ca="1">SUM(INDIRECT(addresses!J38))/1000</f>
        <v>0</v>
      </c>
      <c r="K38" s="198">
        <f ca="1">SUM(INDIRECT(addresses!K38))/1000</f>
        <v>0</v>
      </c>
      <c r="L38" s="198">
        <f ca="1">SUM(INDIRECT(addresses!L38))/1000</f>
        <v>0</v>
      </c>
      <c r="M38" s="198">
        <f ca="1">SUM(INDIRECT(addresses!M38))/1000</f>
        <v>0</v>
      </c>
      <c r="N38" s="198">
        <f ca="1">SUM(INDIRECT(addresses!N38))/1000</f>
        <v>0</v>
      </c>
      <c r="O38" s="198">
        <f ca="1">SUM(INDIRECT(addresses!O38))/1000</f>
        <v>0</v>
      </c>
      <c r="P38" s="198">
        <f ca="1">SUM(INDIRECT(addresses!P38))/1000</f>
        <v>0</v>
      </c>
      <c r="Q38" s="198">
        <f ca="1">SUM(INDIRECT(addresses!Q38))/1000</f>
        <v>0</v>
      </c>
      <c r="R38" s="198">
        <f ca="1">SUM(INDIRECT(addresses!R38))/1000</f>
        <v>0</v>
      </c>
      <c r="S38" s="198">
        <f ca="1">SUM(INDIRECT(addresses!S38))/1000</f>
        <v>0</v>
      </c>
      <c r="T38" s="198">
        <f ca="1">SUM(INDIRECT(addresses!T38))/1000</f>
        <v>0</v>
      </c>
      <c r="U38" s="198">
        <f ca="1">SUM(INDIRECT(addresses!U38))/1000</f>
        <v>0</v>
      </c>
      <c r="V38" s="198">
        <f ca="1">SUM(INDIRECT(addresses!V38))/1000</f>
        <v>0</v>
      </c>
      <c r="W38" s="198">
        <f ca="1">SUM(INDIRECT(addresses!W38))/1000</f>
        <v>0</v>
      </c>
      <c r="X38" s="198">
        <f ca="1">SUM(INDIRECT(addresses!X38))/1000</f>
        <v>0</v>
      </c>
      <c r="Y38" s="198">
        <f ca="1">SUM(INDIRECT(addresses!Y38))/1000</f>
        <v>0</v>
      </c>
      <c r="Z38" s="198">
        <f ca="1">SUM(INDIRECT(addresses!Z38))/1000</f>
        <v>0</v>
      </c>
      <c r="AA38" s="198">
        <f ca="1">SUM(INDIRECT(addresses!AA38))/1000</f>
        <v>0</v>
      </c>
      <c r="AB38" s="198">
        <f ca="1">SUM(INDIRECT(addresses!AB38))/1000</f>
        <v>0</v>
      </c>
      <c r="AD38" s="458"/>
    </row>
    <row r="39" spans="1:30" s="388" customFormat="1" ht="12.75">
      <c r="A39" s="157">
        <v>39</v>
      </c>
      <c r="B39" s="157" t="s">
        <v>25</v>
      </c>
      <c r="C39" s="157"/>
      <c r="D39" s="157"/>
      <c r="E39" s="198">
        <f ca="1">SUM(INDIRECT(addresses!E39))/1000</f>
        <v>2973.64</v>
      </c>
      <c r="F39" s="198">
        <f ca="1">SUM(INDIRECT(addresses!F39))/1000</f>
        <v>2724.811</v>
      </c>
      <c r="G39" s="198">
        <f ca="1">SUM(INDIRECT(addresses!G39))/1000</f>
        <v>1205.63</v>
      </c>
      <c r="H39" s="198">
        <f ca="1">SUM(INDIRECT(addresses!H39))/1000</f>
        <v>1978.247</v>
      </c>
      <c r="I39" s="198">
        <f ca="1">SUM(INDIRECT(addresses!I39))/1000</f>
        <v>3120.253</v>
      </c>
      <c r="J39" s="198">
        <f ca="1">SUM(INDIRECT(addresses!J39))/1000</f>
        <v>2721.56</v>
      </c>
      <c r="K39" s="198">
        <f ca="1">SUM(INDIRECT(addresses!K39))/1000</f>
        <v>1352.718</v>
      </c>
      <c r="L39" s="198">
        <f ca="1">SUM(INDIRECT(addresses!L39))/1000</f>
        <v>1789.378</v>
      </c>
      <c r="M39" s="198">
        <f ca="1">SUM(INDIRECT(addresses!M39))/1000</f>
        <v>2286.783</v>
      </c>
      <c r="N39" s="198">
        <f ca="1">SUM(INDIRECT(addresses!N39))/1000</f>
        <v>2610.994</v>
      </c>
      <c r="O39" s="198">
        <f ca="1">SUM(INDIRECT(addresses!O39))/1000</f>
        <v>1285.334</v>
      </c>
      <c r="P39" s="198">
        <f ca="1">SUM(INDIRECT(addresses!P39))/1000</f>
        <v>2232.991</v>
      </c>
      <c r="Q39" s="198">
        <f ca="1">SUM(INDIRECT(addresses!Q39))/1000</f>
        <v>2121.569</v>
      </c>
      <c r="R39" s="198">
        <f ca="1">SUM(INDIRECT(addresses!R39))/1000</f>
        <v>2275.888</v>
      </c>
      <c r="S39" s="198">
        <f ca="1">SUM(INDIRECT(addresses!S39))/1000</f>
        <v>926.83</v>
      </c>
      <c r="T39" s="198">
        <f ca="1">SUM(INDIRECT(addresses!T39))/1000</f>
        <v>2422.243</v>
      </c>
      <c r="U39" s="198">
        <f ca="1">SUM(INDIRECT(addresses!U39))/1000</f>
        <v>3171.194</v>
      </c>
      <c r="V39" s="198">
        <f ca="1">SUM(INDIRECT(addresses!V39))/1000</f>
        <v>2689.067</v>
      </c>
      <c r="W39" s="198">
        <f ca="1">SUM(INDIRECT(addresses!W39))/1000</f>
        <v>637.631</v>
      </c>
      <c r="X39" s="198">
        <f ca="1">SUM(INDIRECT(addresses!X39))/1000</f>
        <v>2479.109</v>
      </c>
      <c r="Y39" s="198">
        <f ca="1">SUM(INDIRECT(addresses!Y39))/1000</f>
        <v>2870.665</v>
      </c>
      <c r="Z39" s="198">
        <f ca="1">SUM(INDIRECT(addresses!Z39))/1000</f>
        <v>2753.277</v>
      </c>
      <c r="AA39" s="198">
        <f ca="1">SUM(INDIRECT(addresses!AA39))/1000</f>
        <v>1367.063</v>
      </c>
      <c r="AB39" s="198" t="e">
        <f ca="1">SUM(INDIRECT(addresses!AB39))/1000</f>
        <v>#N/A</v>
      </c>
      <c r="AD39" s="458">
        <f t="shared" si="12"/>
        <v>1.1439719837962712</v>
      </c>
    </row>
    <row r="40" spans="1:30" s="388" customFormat="1" ht="12.75">
      <c r="A40" s="157">
        <v>40</v>
      </c>
      <c r="B40" s="346" t="s">
        <v>163</v>
      </c>
      <c r="C40" s="346"/>
      <c r="D40" s="346"/>
      <c r="E40" s="198">
        <f ca="1">SUM(INDIRECT(addresses!E40))/1000</f>
        <v>15226.564</v>
      </c>
      <c r="F40" s="198">
        <f ca="1">SUM(INDIRECT(addresses!F40))/1000</f>
        <v>15691.904</v>
      </c>
      <c r="G40" s="198">
        <f ca="1">SUM(INDIRECT(addresses!G40))/1000</f>
        <v>7542.212</v>
      </c>
      <c r="H40" s="198">
        <f ca="1">SUM(INDIRECT(addresses!H40))/1000</f>
        <v>11443.58</v>
      </c>
      <c r="I40" s="198">
        <f ca="1">SUM(INDIRECT(addresses!I40))/1000</f>
        <v>20003.271</v>
      </c>
      <c r="J40" s="198">
        <f ca="1">SUM(INDIRECT(addresses!J40))/1000</f>
        <v>18231.801</v>
      </c>
      <c r="K40" s="198">
        <f ca="1">SUM(INDIRECT(addresses!K40))/1000</f>
        <v>11750.597</v>
      </c>
      <c r="L40" s="198">
        <f ca="1">SUM(INDIRECT(addresses!L40))/1000</f>
        <v>16039.772</v>
      </c>
      <c r="M40" s="198">
        <f ca="1">SUM(INDIRECT(addresses!M40))/1000</f>
        <v>14078.447</v>
      </c>
      <c r="N40" s="198">
        <f ca="1">SUM(INDIRECT(addresses!N40))/1000</f>
        <v>15738.489</v>
      </c>
      <c r="O40" s="198">
        <f ca="1">SUM(INDIRECT(addresses!O40))/1000</f>
        <v>9068.83</v>
      </c>
      <c r="P40" s="198">
        <f ca="1">SUM(INDIRECT(addresses!P40))/1000</f>
        <v>14098.494</v>
      </c>
      <c r="Q40" s="198">
        <f ca="1">SUM(INDIRECT(addresses!Q40))/1000</f>
        <v>17154.561</v>
      </c>
      <c r="R40" s="198">
        <f ca="1">SUM(INDIRECT(addresses!R40))/1000</f>
        <v>19463.78</v>
      </c>
      <c r="S40" s="198">
        <f ca="1">SUM(INDIRECT(addresses!S40))/1000</f>
        <v>10755.819</v>
      </c>
      <c r="T40" s="198">
        <f ca="1">SUM(INDIRECT(addresses!T40))/1000</f>
        <v>19099.448</v>
      </c>
      <c r="U40" s="198">
        <f ca="1">SUM(INDIRECT(addresses!U40))/1000</f>
        <v>23697.821</v>
      </c>
      <c r="V40" s="198">
        <f ca="1">SUM(INDIRECT(addresses!V40))/1000</f>
        <v>20840.391</v>
      </c>
      <c r="W40" s="198">
        <f ca="1">SUM(INDIRECT(addresses!W40))/1000</f>
        <v>9273.05</v>
      </c>
      <c r="X40" s="198">
        <f ca="1">SUM(INDIRECT(addresses!X40))/1000</f>
        <v>19708.948</v>
      </c>
      <c r="Y40" s="198">
        <f ca="1">SUM(INDIRECT(addresses!Y40))/1000</f>
        <v>20687.193</v>
      </c>
      <c r="Z40" s="198">
        <f ca="1">SUM(INDIRECT(addresses!Z40))/1000</f>
        <v>21966.38481</v>
      </c>
      <c r="AA40" s="198">
        <f ca="1">SUM(INDIRECT(addresses!AA40))/1000</f>
        <v>15187.079</v>
      </c>
      <c r="AB40" s="198" t="e">
        <f ca="1">SUM(INDIRECT(addresses!AB40))/1000</f>
        <v>#N/A</v>
      </c>
      <c r="AD40" s="458">
        <f t="shared" si="12"/>
        <v>0.6377652444449238</v>
      </c>
    </row>
    <row r="41" spans="1:30" s="388" customFormat="1" ht="12.75">
      <c r="A41" s="157">
        <v>41</v>
      </c>
      <c r="B41" s="157" t="s">
        <v>114</v>
      </c>
      <c r="C41" s="157"/>
      <c r="D41" s="157"/>
      <c r="E41" s="198">
        <f ca="1">SUM(INDIRECT(addresses!E41))/1000</f>
        <v>489.606</v>
      </c>
      <c r="F41" s="198">
        <f ca="1">SUM(INDIRECT(addresses!F41))/1000</f>
        <v>626.008</v>
      </c>
      <c r="G41" s="198">
        <f ca="1">SUM(INDIRECT(addresses!G41))/1000</f>
        <v>404.069</v>
      </c>
      <c r="H41" s="198">
        <f ca="1">SUM(INDIRECT(addresses!H41))/1000</f>
        <v>557.774</v>
      </c>
      <c r="I41" s="198">
        <f ca="1">SUM(INDIRECT(addresses!I41))/1000</f>
        <v>0</v>
      </c>
      <c r="J41" s="198">
        <f ca="1">SUM(INDIRECT(addresses!J41))/1000</f>
        <v>0</v>
      </c>
      <c r="K41" s="198">
        <f ca="1">SUM(INDIRECT(addresses!K41))/1000</f>
        <v>0</v>
      </c>
      <c r="L41" s="198">
        <f ca="1">SUM(INDIRECT(addresses!L41))/1000</f>
        <v>0</v>
      </c>
      <c r="M41" s="198">
        <f ca="1">SUM(INDIRECT(addresses!M41))/1000</f>
        <v>784.634</v>
      </c>
      <c r="N41" s="198">
        <f ca="1">SUM(INDIRECT(addresses!N41))/1000</f>
        <v>743.547</v>
      </c>
      <c r="O41" s="198">
        <f ca="1">SUM(INDIRECT(addresses!O41))/1000</f>
        <v>317.899</v>
      </c>
      <c r="P41" s="198">
        <f ca="1">SUM(INDIRECT(addresses!P41))/1000</f>
        <v>705.439</v>
      </c>
      <c r="Q41" s="198">
        <f ca="1">SUM(INDIRECT(addresses!Q41))/1000</f>
        <v>0</v>
      </c>
      <c r="R41" s="198">
        <f ca="1">SUM(INDIRECT(addresses!R41))/1000</f>
        <v>0</v>
      </c>
      <c r="S41" s="198">
        <f ca="1">SUM(INDIRECT(addresses!S41))/1000</f>
        <v>0</v>
      </c>
      <c r="T41" s="198">
        <f ca="1">SUM(INDIRECT(addresses!T41))/1000</f>
        <v>0</v>
      </c>
      <c r="U41" s="198">
        <f ca="1">SUM(INDIRECT(addresses!U41))/1000</f>
        <v>0</v>
      </c>
      <c r="V41" s="198">
        <f ca="1">SUM(INDIRECT(addresses!V41))/1000</f>
        <v>0</v>
      </c>
      <c r="W41" s="198">
        <f ca="1">SUM(INDIRECT(addresses!W41))/1000</f>
        <v>0</v>
      </c>
      <c r="X41" s="198">
        <f ca="1">SUM(INDIRECT(addresses!X41))/1000</f>
        <v>0</v>
      </c>
      <c r="Y41" s="198">
        <f ca="1">SUM(INDIRECT(addresses!Y41))/1000</f>
        <v>0</v>
      </c>
      <c r="Z41" s="198">
        <f ca="1">SUM(INDIRECT(addresses!Z41))/1000</f>
        <v>0</v>
      </c>
      <c r="AA41" s="198">
        <f ca="1">SUM(INDIRECT(addresses!AA41))/1000</f>
        <v>0</v>
      </c>
      <c r="AB41" s="198">
        <f ca="1">SUM(INDIRECT(addresses!AB41))/1000</f>
        <v>0</v>
      </c>
      <c r="AD41" s="458"/>
    </row>
    <row r="42" spans="1:30" s="388" customFormat="1" ht="12.75">
      <c r="A42" s="157">
        <v>42</v>
      </c>
      <c r="B42" s="157" t="s">
        <v>27</v>
      </c>
      <c r="C42" s="157"/>
      <c r="D42" s="157"/>
      <c r="E42" s="198">
        <f ca="1">SUM(INDIRECT(addresses!E42))/1000</f>
        <v>582.433</v>
      </c>
      <c r="F42" s="198">
        <f ca="1">SUM(INDIRECT(addresses!F42))/1000</f>
        <v>1244.651</v>
      </c>
      <c r="G42" s="198">
        <f ca="1">SUM(INDIRECT(addresses!G42))/1000</f>
        <v>417.815</v>
      </c>
      <c r="H42" s="198">
        <f ca="1">SUM(INDIRECT(addresses!H42))/1000</f>
        <v>899.817</v>
      </c>
      <c r="I42" s="198">
        <f ca="1">SUM(INDIRECT(addresses!I42))/1000</f>
        <v>4286.496</v>
      </c>
      <c r="J42" s="198">
        <f ca="1">SUM(INDIRECT(addresses!J42))/1000</f>
        <v>4844.313</v>
      </c>
      <c r="K42" s="198">
        <f ca="1">SUM(INDIRECT(addresses!K42))/1000</f>
        <v>2656.133</v>
      </c>
      <c r="L42" s="198">
        <f ca="1">SUM(INDIRECT(addresses!L42))/1000</f>
        <v>3515.819</v>
      </c>
      <c r="M42" s="198">
        <f ca="1">SUM(INDIRECT(addresses!M42))/1000</f>
        <v>0</v>
      </c>
      <c r="N42" s="198">
        <f ca="1">SUM(INDIRECT(addresses!N42))/1000</f>
        <v>0</v>
      </c>
      <c r="O42" s="198">
        <f ca="1">SUM(INDIRECT(addresses!O42))/1000</f>
        <v>0</v>
      </c>
      <c r="P42" s="198">
        <f ca="1">SUM(INDIRECT(addresses!P42))/1000</f>
        <v>0</v>
      </c>
      <c r="Q42" s="198">
        <f ca="1">SUM(INDIRECT(addresses!Q42))/1000</f>
        <v>0</v>
      </c>
      <c r="R42" s="198">
        <f ca="1">SUM(INDIRECT(addresses!R42))/1000</f>
        <v>0</v>
      </c>
      <c r="S42" s="198">
        <f ca="1">SUM(INDIRECT(addresses!S42))/1000</f>
        <v>0</v>
      </c>
      <c r="T42" s="198">
        <f ca="1">SUM(INDIRECT(addresses!T42))/1000</f>
        <v>0</v>
      </c>
      <c r="U42" s="198">
        <f ca="1">SUM(INDIRECT(addresses!U42))/1000</f>
        <v>0</v>
      </c>
      <c r="V42" s="198">
        <f ca="1">SUM(INDIRECT(addresses!V42))/1000</f>
        <v>0</v>
      </c>
      <c r="W42" s="198">
        <f ca="1">SUM(INDIRECT(addresses!W42))/1000</f>
        <v>0</v>
      </c>
      <c r="X42" s="198">
        <f ca="1">SUM(INDIRECT(addresses!X42))/1000</f>
        <v>0</v>
      </c>
      <c r="Y42" s="198">
        <f ca="1">SUM(INDIRECT(addresses!Y42))/1000</f>
        <v>0</v>
      </c>
      <c r="Z42" s="198">
        <f ca="1">SUM(INDIRECT(addresses!Z42))/1000</f>
        <v>0</v>
      </c>
      <c r="AA42" s="198">
        <f ca="1">SUM(INDIRECT(addresses!AA42))/1000</f>
        <v>0</v>
      </c>
      <c r="AB42" s="198">
        <f ca="1">SUM(INDIRECT(addresses!AB42))/1000</f>
        <v>0</v>
      </c>
      <c r="AD42" s="458"/>
    </row>
    <row r="43" spans="1:30" s="388" customFormat="1" ht="12.75">
      <c r="A43" s="157">
        <v>43</v>
      </c>
      <c r="B43" s="157" t="s">
        <v>57</v>
      </c>
      <c r="C43" s="157"/>
      <c r="D43" s="157"/>
      <c r="E43" s="198">
        <f ca="1">SUM(INDIRECT(addresses!E43))/1000</f>
        <v>1999.023</v>
      </c>
      <c r="F43" s="198">
        <f ca="1">SUM(INDIRECT(addresses!F43))/1000</f>
        <v>3304.916</v>
      </c>
      <c r="G43" s="198">
        <f ca="1">SUM(INDIRECT(addresses!G43))/1000</f>
        <v>1029.26</v>
      </c>
      <c r="H43" s="198">
        <f ca="1">SUM(INDIRECT(addresses!H43))/1000</f>
        <v>2030.416</v>
      </c>
      <c r="I43" s="198">
        <f ca="1">SUM(INDIRECT(addresses!I43))/1000</f>
        <v>0</v>
      </c>
      <c r="J43" s="198">
        <f ca="1">SUM(INDIRECT(addresses!J43))/1000</f>
        <v>0</v>
      </c>
      <c r="K43" s="198">
        <f ca="1">SUM(INDIRECT(addresses!K43))/1000</f>
        <v>0</v>
      </c>
      <c r="L43" s="198">
        <f ca="1">SUM(INDIRECT(addresses!L43))/1000</f>
        <v>0</v>
      </c>
      <c r="M43" s="198">
        <f ca="1">SUM(INDIRECT(addresses!M43))/1000</f>
        <v>3166.95</v>
      </c>
      <c r="N43" s="198">
        <f ca="1">SUM(INDIRECT(addresses!N43))/1000</f>
        <v>4186.884</v>
      </c>
      <c r="O43" s="198">
        <f ca="1">SUM(INDIRECT(addresses!O43))/1000</f>
        <v>1780.042</v>
      </c>
      <c r="P43" s="198">
        <f ca="1">SUM(INDIRECT(addresses!P43))/1000</f>
        <v>3239.311</v>
      </c>
      <c r="Q43" s="198">
        <f ca="1">SUM(INDIRECT(addresses!Q43))/1000</f>
        <v>0</v>
      </c>
      <c r="R43" s="198">
        <f ca="1">SUM(INDIRECT(addresses!R43))/1000</f>
        <v>0</v>
      </c>
      <c r="S43" s="198">
        <f ca="1">SUM(INDIRECT(addresses!S43))/1000</f>
        <v>0</v>
      </c>
      <c r="T43" s="198">
        <f ca="1">SUM(INDIRECT(addresses!T43))/1000</f>
        <v>0</v>
      </c>
      <c r="U43" s="198">
        <f ca="1">SUM(INDIRECT(addresses!U43))/1000</f>
        <v>0</v>
      </c>
      <c r="V43" s="198">
        <f ca="1">SUM(INDIRECT(addresses!V43))/1000</f>
        <v>0</v>
      </c>
      <c r="W43" s="198">
        <f ca="1">SUM(INDIRECT(addresses!W43))/1000</f>
        <v>0</v>
      </c>
      <c r="X43" s="198">
        <f ca="1">SUM(INDIRECT(addresses!X43))/1000</f>
        <v>0</v>
      </c>
      <c r="Y43" s="198">
        <f ca="1">SUM(INDIRECT(addresses!Y43))/1000</f>
        <v>0</v>
      </c>
      <c r="Z43" s="198">
        <f ca="1">SUM(INDIRECT(addresses!Z43))/1000</f>
        <v>0</v>
      </c>
      <c r="AA43" s="198">
        <f ca="1">SUM(INDIRECT(addresses!AA43))/1000</f>
        <v>0</v>
      </c>
      <c r="AB43" s="198">
        <f ca="1">SUM(INDIRECT(addresses!AB43))/1000</f>
        <v>0</v>
      </c>
      <c r="AD43" s="458"/>
    </row>
    <row r="44" spans="1:30" s="388" customFormat="1" ht="12.75">
      <c r="A44" s="157">
        <v>44</v>
      </c>
      <c r="B44" s="157" t="s">
        <v>106</v>
      </c>
      <c r="C44" s="157"/>
      <c r="D44" s="157"/>
      <c r="E44" s="198">
        <f ca="1">SUM(INDIRECT(addresses!E44))/1000</f>
        <v>1486.478</v>
      </c>
      <c r="F44" s="198">
        <f ca="1">SUM(INDIRECT(addresses!F44))/1000</f>
        <v>1358.462</v>
      </c>
      <c r="G44" s="198">
        <f ca="1">SUM(INDIRECT(addresses!G44))/1000</f>
        <v>840.287</v>
      </c>
      <c r="H44" s="198">
        <f ca="1">SUM(INDIRECT(addresses!H44))/1000</f>
        <v>1232.359</v>
      </c>
      <c r="I44" s="198">
        <f ca="1">SUM(INDIRECT(addresses!I44))/1000</f>
        <v>0</v>
      </c>
      <c r="J44" s="198">
        <f ca="1">SUM(INDIRECT(addresses!J44))/1000</f>
        <v>0</v>
      </c>
      <c r="K44" s="198">
        <f ca="1">SUM(INDIRECT(addresses!K44))/1000</f>
        <v>0</v>
      </c>
      <c r="L44" s="198">
        <f ca="1">SUM(INDIRECT(addresses!L44))/1000</f>
        <v>0</v>
      </c>
      <c r="M44" s="198">
        <f ca="1">SUM(INDIRECT(addresses!M44))/1000</f>
        <v>1898.264</v>
      </c>
      <c r="N44" s="198">
        <f ca="1">SUM(INDIRECT(addresses!N44))/1000</f>
        <v>2111.574</v>
      </c>
      <c r="O44" s="198">
        <f ca="1">SUM(INDIRECT(addresses!O44))/1000</f>
        <v>1415.868</v>
      </c>
      <c r="P44" s="198">
        <f ca="1">SUM(INDIRECT(addresses!P44))/1000</f>
        <v>2125</v>
      </c>
      <c r="Q44" s="198">
        <f ca="1">SUM(INDIRECT(addresses!Q44))/1000</f>
        <v>3659.564</v>
      </c>
      <c r="R44" s="198">
        <f ca="1">SUM(INDIRECT(addresses!R44))/1000</f>
        <v>4416.009</v>
      </c>
      <c r="S44" s="198">
        <f ca="1">SUM(INDIRECT(addresses!S44))/1000</f>
        <v>1369.933</v>
      </c>
      <c r="T44" s="198">
        <f ca="1">SUM(INDIRECT(addresses!T44))/1000</f>
        <v>3300.498</v>
      </c>
      <c r="U44" s="198">
        <f ca="1">SUM(INDIRECT(addresses!U44))/1000</f>
        <v>4514.826</v>
      </c>
      <c r="V44" s="198">
        <f ca="1">SUM(INDIRECT(addresses!V44))/1000</f>
        <v>4210.236</v>
      </c>
      <c r="W44" s="198">
        <f ca="1">SUM(INDIRECT(addresses!W44))/1000</f>
        <v>972.741</v>
      </c>
      <c r="X44" s="198">
        <f ca="1">SUM(INDIRECT(addresses!X44))/1000</f>
        <v>2527.449</v>
      </c>
      <c r="Y44" s="198">
        <f ca="1">SUM(INDIRECT(addresses!Y44))/1000</f>
        <v>3077.049</v>
      </c>
      <c r="Z44" s="198">
        <f ca="1">SUM(INDIRECT(addresses!Z44))/1000</f>
        <v>4298.439</v>
      </c>
      <c r="AA44" s="198">
        <f ca="1">SUM(INDIRECT(addresses!AA44))/1000</f>
        <v>2850.908</v>
      </c>
      <c r="AB44" s="198" t="e">
        <f ca="1">SUM(INDIRECT(addresses!AB44))/1000</f>
        <v>#N/A</v>
      </c>
      <c r="AD44" s="458">
        <f t="shared" si="12"/>
        <v>1.9307986401313402</v>
      </c>
    </row>
    <row r="45" spans="1:30" s="388" customFormat="1" ht="12.75">
      <c r="A45" s="157">
        <v>45</v>
      </c>
      <c r="B45" s="157" t="s">
        <v>115</v>
      </c>
      <c r="C45" s="157"/>
      <c r="D45" s="157"/>
      <c r="E45" s="198">
        <f ca="1">SUM(INDIRECT(addresses!E45))/1000</f>
        <v>0</v>
      </c>
      <c r="F45" s="198">
        <f ca="1">SUM(INDIRECT(addresses!F45))/1000</f>
        <v>0</v>
      </c>
      <c r="G45" s="198">
        <f ca="1">SUM(INDIRECT(addresses!G45))/1000</f>
        <v>778.71</v>
      </c>
      <c r="H45" s="198">
        <f ca="1">SUM(INDIRECT(addresses!H45))/1000</f>
        <v>1486.125</v>
      </c>
      <c r="I45" s="198">
        <f ca="1">SUM(INDIRECT(addresses!I45))/1000</f>
        <v>0</v>
      </c>
      <c r="J45" s="198">
        <f ca="1">SUM(INDIRECT(addresses!J45))/1000</f>
        <v>0</v>
      </c>
      <c r="K45" s="198">
        <f ca="1">SUM(INDIRECT(addresses!K45))/1000</f>
        <v>0</v>
      </c>
      <c r="L45" s="198">
        <f ca="1">SUM(INDIRECT(addresses!L45))/1000</f>
        <v>0</v>
      </c>
      <c r="M45" s="198">
        <f ca="1">SUM(INDIRECT(addresses!M45))/1000</f>
        <v>1067.085</v>
      </c>
      <c r="N45" s="198">
        <f ca="1">SUM(INDIRECT(addresses!N45))/1000</f>
        <v>1369.416</v>
      </c>
      <c r="O45" s="198">
        <f ca="1">SUM(INDIRECT(addresses!O45))/1000</f>
        <v>1213.583</v>
      </c>
      <c r="P45" s="198">
        <f ca="1">SUM(INDIRECT(addresses!P45))/1000</f>
        <v>1444.76</v>
      </c>
      <c r="Q45" s="198">
        <f ca="1">SUM(INDIRECT(addresses!Q45))/1000</f>
        <v>0</v>
      </c>
      <c r="R45" s="198">
        <f ca="1">SUM(INDIRECT(addresses!R45))/1000</f>
        <v>0</v>
      </c>
      <c r="S45" s="198">
        <f ca="1">SUM(INDIRECT(addresses!S45))/1000</f>
        <v>0</v>
      </c>
      <c r="T45" s="198">
        <f ca="1">SUM(INDIRECT(addresses!T45))/1000</f>
        <v>0</v>
      </c>
      <c r="U45" s="198">
        <f ca="1">SUM(INDIRECT(addresses!U45))/1000</f>
        <v>0</v>
      </c>
      <c r="V45" s="198">
        <f ca="1">SUM(INDIRECT(addresses!V45))/1000</f>
        <v>0</v>
      </c>
      <c r="W45" s="198">
        <f ca="1">SUM(INDIRECT(addresses!W45))/1000</f>
        <v>0</v>
      </c>
      <c r="X45" s="198">
        <f ca="1">SUM(INDIRECT(addresses!X45))/1000</f>
        <v>0</v>
      </c>
      <c r="Y45" s="198">
        <f ca="1">SUM(INDIRECT(addresses!Y45))/1000</f>
        <v>0</v>
      </c>
      <c r="Z45" s="198">
        <f ca="1">SUM(INDIRECT(addresses!Z45))/1000</f>
        <v>0</v>
      </c>
      <c r="AA45" s="198">
        <f ca="1">SUM(INDIRECT(addresses!AA45))/1000</f>
        <v>0</v>
      </c>
      <c r="AB45" s="198" t="e">
        <f ca="1">SUM(INDIRECT(addresses!AB45))/1000</f>
        <v>#N/A</v>
      </c>
      <c r="AD45" s="458"/>
    </row>
    <row r="46" spans="1:30" s="388" customFormat="1" ht="12.75">
      <c r="A46" s="157">
        <v>46</v>
      </c>
      <c r="B46" s="157" t="s">
        <v>116</v>
      </c>
      <c r="C46" s="157"/>
      <c r="D46" s="157"/>
      <c r="E46" s="198">
        <f ca="1">SUM(INDIRECT(addresses!E46))/1000</f>
        <v>0</v>
      </c>
      <c r="F46" s="198">
        <f ca="1">SUM(INDIRECT(addresses!F46))/1000</f>
        <v>0</v>
      </c>
      <c r="G46" s="198">
        <f ca="1">SUM(INDIRECT(addresses!G46))/1000</f>
        <v>460.334</v>
      </c>
      <c r="H46" s="198">
        <f ca="1">SUM(INDIRECT(addresses!H46))/1000</f>
        <v>946.933</v>
      </c>
      <c r="I46" s="198">
        <f ca="1">SUM(INDIRECT(addresses!I46))/1000</f>
        <v>0</v>
      </c>
      <c r="J46" s="198">
        <f ca="1">SUM(INDIRECT(addresses!J46))/1000</f>
        <v>0</v>
      </c>
      <c r="K46" s="198">
        <f ca="1">SUM(INDIRECT(addresses!K46))/1000</f>
        <v>0</v>
      </c>
      <c r="L46" s="198">
        <f ca="1">SUM(INDIRECT(addresses!L46))/1000</f>
        <v>0</v>
      </c>
      <c r="M46" s="198">
        <f ca="1">SUM(INDIRECT(addresses!M46))/1000</f>
        <v>1225.645</v>
      </c>
      <c r="N46" s="198">
        <f ca="1">SUM(INDIRECT(addresses!N46))/1000</f>
        <v>1441.834</v>
      </c>
      <c r="O46" s="198">
        <f ca="1">SUM(INDIRECT(addresses!O46))/1000</f>
        <v>1078.602</v>
      </c>
      <c r="P46" s="198">
        <f ca="1">SUM(INDIRECT(addresses!P46))/1000</f>
        <v>1397.79</v>
      </c>
      <c r="Q46" s="198">
        <f ca="1">SUM(INDIRECT(addresses!Q46))/1000</f>
        <v>2054.399</v>
      </c>
      <c r="R46" s="198">
        <f ca="1">SUM(INDIRECT(addresses!R46))/1000</f>
        <v>2234.022</v>
      </c>
      <c r="S46" s="198">
        <f ca="1">SUM(INDIRECT(addresses!S46))/1000</f>
        <v>1347.611</v>
      </c>
      <c r="T46" s="198">
        <f ca="1">SUM(INDIRECT(addresses!T46))/1000</f>
        <v>2324.991</v>
      </c>
      <c r="U46" s="198">
        <f ca="1">SUM(INDIRECT(addresses!U46))/1000</f>
        <v>0</v>
      </c>
      <c r="V46" s="198">
        <f ca="1">SUM(INDIRECT(addresses!V46))/1000</f>
        <v>0</v>
      </c>
      <c r="W46" s="198">
        <f ca="1">SUM(INDIRECT(addresses!W46))/1000</f>
        <v>0</v>
      </c>
      <c r="X46" s="198">
        <f ca="1">SUM(INDIRECT(addresses!X46))/1000</f>
        <v>0</v>
      </c>
      <c r="Y46" s="198">
        <f ca="1">SUM(INDIRECT(addresses!Y46))/1000</f>
        <v>0</v>
      </c>
      <c r="Z46" s="198">
        <f ca="1">SUM(INDIRECT(addresses!Z46))/1000</f>
        <v>0</v>
      </c>
      <c r="AA46" s="198">
        <f ca="1">SUM(INDIRECT(addresses!AA46))/1000</f>
        <v>0</v>
      </c>
      <c r="AB46" s="198" t="e">
        <f ca="1">SUM(INDIRECT(addresses!AB46))/1000</f>
        <v>#N/A</v>
      </c>
      <c r="AD46" s="458"/>
    </row>
    <row r="47" spans="1:30" s="388" customFormat="1" ht="12.75">
      <c r="A47" s="157">
        <v>47</v>
      </c>
      <c r="B47" s="157" t="s">
        <v>107</v>
      </c>
      <c r="C47" s="157"/>
      <c r="D47" s="157"/>
      <c r="E47" s="198">
        <f ca="1">SUM(INDIRECT(addresses!E47))/1000</f>
        <v>265.266</v>
      </c>
      <c r="F47" s="198">
        <f ca="1">SUM(INDIRECT(addresses!F47))/1000</f>
        <v>248.332</v>
      </c>
      <c r="G47" s="198">
        <f ca="1">SUM(INDIRECT(addresses!G47))/1000</f>
        <v>166.651</v>
      </c>
      <c r="H47" s="198">
        <f ca="1">SUM(INDIRECT(addresses!H47))/1000</f>
        <v>248.274</v>
      </c>
      <c r="I47" s="198">
        <f ca="1">SUM(INDIRECT(addresses!I47))/1000</f>
        <v>1677.088</v>
      </c>
      <c r="J47" s="198">
        <f ca="1">SUM(INDIRECT(addresses!J47))/1000</f>
        <v>1904.091</v>
      </c>
      <c r="K47" s="198">
        <f ca="1">SUM(INDIRECT(addresses!K47))/1000</f>
        <v>1242.11</v>
      </c>
      <c r="L47" s="198">
        <f ca="1">SUM(INDIRECT(addresses!L47))/1000</f>
        <v>1759.981</v>
      </c>
      <c r="M47" s="198">
        <f ca="1">SUM(INDIRECT(addresses!M47))/1000</f>
        <v>0</v>
      </c>
      <c r="N47" s="198">
        <f ca="1">SUM(INDIRECT(addresses!N47))/1000</f>
        <v>0</v>
      </c>
      <c r="O47" s="198">
        <f ca="1">SUM(INDIRECT(addresses!O47))/1000</f>
        <v>0</v>
      </c>
      <c r="P47" s="198">
        <f ca="1">SUM(INDIRECT(addresses!P47))/1000</f>
        <v>0</v>
      </c>
      <c r="Q47" s="198">
        <f ca="1">SUM(INDIRECT(addresses!Q47))/1000</f>
        <v>0</v>
      </c>
      <c r="R47" s="198">
        <f ca="1">SUM(INDIRECT(addresses!R47))/1000</f>
        <v>0</v>
      </c>
      <c r="S47" s="198">
        <f ca="1">SUM(INDIRECT(addresses!S47))/1000</f>
        <v>0</v>
      </c>
      <c r="T47" s="198">
        <f ca="1">SUM(INDIRECT(addresses!T47))/1000</f>
        <v>0</v>
      </c>
      <c r="U47" s="198">
        <f ca="1">SUM(INDIRECT(addresses!U47))/1000</f>
        <v>2520.068</v>
      </c>
      <c r="V47" s="198">
        <f ca="1">SUM(INDIRECT(addresses!V47))/1000</f>
        <v>2265.176</v>
      </c>
      <c r="W47" s="198">
        <f ca="1">SUM(INDIRECT(addresses!W47))/1000</f>
        <v>1168.804</v>
      </c>
      <c r="X47" s="198">
        <f ca="1">SUM(INDIRECT(addresses!X47))/1000</f>
        <v>2516.271</v>
      </c>
      <c r="Y47" s="198">
        <f ca="1">SUM(INDIRECT(addresses!Y47))/1000</f>
        <v>2512.575</v>
      </c>
      <c r="Z47" s="198">
        <f ca="1">SUM(INDIRECT(addresses!Z47))/1000</f>
        <v>2501.602</v>
      </c>
      <c r="AA47" s="198">
        <f ca="1">SUM(INDIRECT(addresses!AA47))/1000</f>
        <v>1911.455</v>
      </c>
      <c r="AB47" s="198" t="e">
        <f ca="1">SUM(INDIRECT(addresses!AB47))/1000</f>
        <v>#N/A</v>
      </c>
      <c r="AD47" s="458">
        <f t="shared" si="12"/>
        <v>0.635393958268452</v>
      </c>
    </row>
    <row r="48" spans="1:30" s="388" customFormat="1" ht="12.75">
      <c r="A48" s="157"/>
      <c r="B48" s="157"/>
      <c r="C48" s="157"/>
      <c r="D48" s="157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D48" s="458"/>
    </row>
    <row r="49" spans="1:30" s="388" customFormat="1" ht="12.75">
      <c r="A49" s="157">
        <v>49</v>
      </c>
      <c r="B49" s="196" t="s">
        <v>28</v>
      </c>
      <c r="C49" s="196"/>
      <c r="D49" s="196"/>
      <c r="E49" s="198">
        <f ca="1">SUM(INDIRECT(addresses!E49))/1000</f>
        <v>20049.37</v>
      </c>
      <c r="F49" s="198">
        <f ca="1">SUM(INDIRECT(addresses!F49))/1000</f>
        <v>22474.273</v>
      </c>
      <c r="G49" s="198">
        <f ca="1">SUM(INDIRECT(addresses!G49))/1000</f>
        <v>11639.338</v>
      </c>
      <c r="H49" s="198">
        <f ca="1">SUM(INDIRECT(addresses!H49))/1000</f>
        <v>18845.278</v>
      </c>
      <c r="I49" s="198">
        <f ca="1">SUM(INDIRECT(addresses!I49))/1000</f>
        <v>25966.855</v>
      </c>
      <c r="J49" s="198">
        <f ca="1">SUM(INDIRECT(addresses!J49))/1000</f>
        <v>24980.205</v>
      </c>
      <c r="K49" s="198">
        <f ca="1">SUM(INDIRECT(addresses!K49))/1000</f>
        <v>15648.84</v>
      </c>
      <c r="L49" s="198">
        <f ca="1">SUM(INDIRECT(addresses!L49))/1000</f>
        <v>21315.572</v>
      </c>
      <c r="M49" s="198">
        <f ca="1">SUM(INDIRECT(addresses!M49))/1000</f>
        <v>22221.025</v>
      </c>
      <c r="N49" s="198">
        <f ca="1">SUM(INDIRECT(addresses!N49))/1000</f>
        <v>25591.744</v>
      </c>
      <c r="O49" s="198">
        <f ca="1">SUM(INDIRECT(addresses!O49))/1000</f>
        <v>14874.824</v>
      </c>
      <c r="P49" s="198">
        <f ca="1">SUM(INDIRECT(addresses!P49))/1000</f>
        <v>23010.794</v>
      </c>
      <c r="Q49" s="198">
        <f ca="1">SUM(INDIRECT(addresses!Q49))/1000</f>
        <v>22868.524</v>
      </c>
      <c r="R49" s="198">
        <f ca="1">SUM(INDIRECT(addresses!R49))/1000</f>
        <v>26113.811</v>
      </c>
      <c r="S49" s="198">
        <f ca="1">SUM(INDIRECT(addresses!S49))/1000</f>
        <v>13473.363</v>
      </c>
      <c r="T49" s="198">
        <f ca="1">SUM(INDIRECT(addresses!T49))/1000</f>
        <v>24724.937</v>
      </c>
      <c r="U49" s="198">
        <f ca="1">SUM(INDIRECT(addresses!U49))/1000</f>
        <v>30732.715</v>
      </c>
      <c r="V49" s="198">
        <f ca="1">SUM(INDIRECT(addresses!V49))/1000</f>
        <v>27315.803</v>
      </c>
      <c r="W49" s="198">
        <f ca="1">SUM(INDIRECT(addresses!W49))/1000</f>
        <v>11414.595</v>
      </c>
      <c r="X49" s="198">
        <f ca="1">SUM(INDIRECT(addresses!X49))/1000</f>
        <v>24752.668</v>
      </c>
      <c r="Y49" s="198">
        <f ca="1">SUM(INDIRECT(addresses!Y49))/1000</f>
        <v>26276.817</v>
      </c>
      <c r="Z49" s="198">
        <f ca="1">SUM(INDIRECT(addresses!Z49))/1000</f>
        <v>28766.425809999997</v>
      </c>
      <c r="AA49" s="198">
        <f ca="1">SUM(INDIRECT(addresses!AA49))/1000</f>
        <v>19949.442</v>
      </c>
      <c r="AB49" s="198" t="e">
        <f ca="1">SUM(INDIRECT(addresses!AB49))/1000</f>
        <v>#N/A</v>
      </c>
      <c r="AD49" s="458">
        <f t="shared" si="12"/>
        <v>0.7477135194021338</v>
      </c>
    </row>
    <row r="50" spans="1:28" s="388" customFormat="1" ht="13.5" thickBot="1">
      <c r="A50" s="15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</row>
    <row r="51" spans="1:28" ht="13.5" thickTop="1">
      <c r="A51" s="157"/>
      <c r="B51" s="201">
        <f ca="1">NOW()</f>
        <v>40948.65149502315</v>
      </c>
      <c r="C51" s="201"/>
      <c r="D51" s="201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</row>
    <row r="52" spans="1:28" ht="12.75">
      <c r="A52" s="157"/>
      <c r="B52" s="201" t="s">
        <v>97</v>
      </c>
      <c r="C52" s="201"/>
      <c r="D52" s="201"/>
      <c r="E52" s="204">
        <f aca="true" t="shared" si="13" ref="E52:P52">SUM(E40:E47)-E49</f>
        <v>0</v>
      </c>
      <c r="F52" s="204">
        <f t="shared" si="13"/>
        <v>0</v>
      </c>
      <c r="G52" s="204">
        <f t="shared" si="13"/>
        <v>0</v>
      </c>
      <c r="H52" s="204">
        <f t="shared" si="13"/>
        <v>0</v>
      </c>
      <c r="I52" s="204">
        <f t="shared" si="13"/>
        <v>0</v>
      </c>
      <c r="J52" s="204">
        <f t="shared" si="13"/>
        <v>0</v>
      </c>
      <c r="K52" s="204">
        <f t="shared" si="13"/>
        <v>0</v>
      </c>
      <c r="L52" s="204">
        <f t="shared" si="13"/>
        <v>0</v>
      </c>
      <c r="M52" s="204">
        <f t="shared" si="13"/>
        <v>0</v>
      </c>
      <c r="N52" s="204">
        <f t="shared" si="13"/>
        <v>0</v>
      </c>
      <c r="O52" s="204">
        <f t="shared" si="13"/>
        <v>0</v>
      </c>
      <c r="P52" s="204">
        <f t="shared" si="13"/>
        <v>0</v>
      </c>
      <c r="Q52" s="204">
        <f aca="true" t="shared" si="14" ref="Q52:Z52">SUM(Q41:Q48,Q30:Q39)-Q49</f>
        <v>0</v>
      </c>
      <c r="R52" s="204">
        <f t="shared" si="14"/>
        <v>0</v>
      </c>
      <c r="S52" s="204">
        <f t="shared" si="14"/>
        <v>0</v>
      </c>
      <c r="T52" s="204">
        <f t="shared" si="14"/>
        <v>0</v>
      </c>
      <c r="U52" s="204">
        <f t="shared" si="14"/>
        <v>0</v>
      </c>
      <c r="V52" s="204">
        <f t="shared" si="14"/>
        <v>0</v>
      </c>
      <c r="W52" s="204">
        <f t="shared" si="14"/>
        <v>0</v>
      </c>
      <c r="X52" s="204">
        <f t="shared" si="14"/>
        <v>0</v>
      </c>
      <c r="Y52" s="204">
        <f t="shared" si="14"/>
        <v>0</v>
      </c>
      <c r="Z52" s="204">
        <f t="shared" si="14"/>
        <v>0</v>
      </c>
      <c r="AA52" s="204">
        <f>SUM(AA41:AA48,AA30:AA39)-AA49</f>
        <v>0</v>
      </c>
      <c r="AB52" s="204" t="e">
        <f>SUM(AB41:AB48,AB30:AB39)-AB49</f>
        <v>#N/A</v>
      </c>
    </row>
    <row r="53" spans="1:28" ht="12.75">
      <c r="A53" s="157"/>
      <c r="B53" s="201"/>
      <c r="C53" s="201"/>
      <c r="D53" s="201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</row>
    <row r="54" spans="1:28" ht="12.75">
      <c r="A54" s="157"/>
      <c r="B54" s="201"/>
      <c r="C54" s="201"/>
      <c r="D54" s="201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5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0.9921875" style="0" customWidth="1"/>
    <col min="2" max="2" width="18.77734375" style="0" customWidth="1"/>
    <col min="3" max="14" width="11.5546875" style="0" customWidth="1"/>
    <col min="15" max="15" width="12.99609375" style="0" customWidth="1"/>
    <col min="16" max="16" width="8.88671875" style="0" customWidth="1"/>
  </cols>
  <sheetData>
    <row r="1" spans="1:35" ht="15">
      <c r="A1" s="123"/>
      <c r="B1" s="123"/>
      <c r="C1" s="124" t="s">
        <v>62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.7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>
        <v>1998</v>
      </c>
      <c r="P3" s="127"/>
      <c r="Q3" s="123"/>
      <c r="R3" s="12"/>
      <c r="S3" s="12"/>
      <c r="T3" s="97" t="s">
        <v>52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6.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12"/>
      <c r="S4" s="12"/>
      <c r="T4" s="102" t="s">
        <v>61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5.75" thickTop="1">
      <c r="A5" s="123"/>
      <c r="B5" s="108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1"/>
      <c r="P5" s="132"/>
      <c r="Q5" s="123"/>
      <c r="R5" s="54"/>
      <c r="S5" s="54"/>
      <c r="T5" s="54"/>
      <c r="U5" s="12"/>
      <c r="V5" s="15"/>
      <c r="W5" s="12"/>
      <c r="X5" s="12"/>
      <c r="Y5" s="12"/>
      <c r="Z5" s="12"/>
      <c r="AA5" s="12"/>
      <c r="AB5" s="15"/>
      <c r="AC5" s="12"/>
      <c r="AD5" s="12"/>
      <c r="AE5" s="12"/>
      <c r="AF5" s="12"/>
      <c r="AG5" s="12"/>
      <c r="AH5" s="12"/>
      <c r="AI5" s="12"/>
    </row>
    <row r="6" spans="1:35" ht="15">
      <c r="A6" s="123"/>
      <c r="B6" s="108" t="s">
        <v>17</v>
      </c>
      <c r="C6" s="110">
        <v>184972</v>
      </c>
      <c r="D6" s="111">
        <v>178002</v>
      </c>
      <c r="E6" s="111">
        <v>174050</v>
      </c>
      <c r="F6" s="111">
        <v>186769</v>
      </c>
      <c r="G6" s="111">
        <v>173571</v>
      </c>
      <c r="H6" s="111">
        <v>159571</v>
      </c>
      <c r="I6" s="111">
        <v>128538</v>
      </c>
      <c r="J6" s="111">
        <v>86885</v>
      </c>
      <c r="K6" s="111">
        <v>49947</v>
      </c>
      <c r="L6" s="111">
        <v>108548.5</v>
      </c>
      <c r="M6" s="111">
        <v>101995.5</v>
      </c>
      <c r="N6" s="111">
        <v>128285.5</v>
      </c>
      <c r="O6" s="133">
        <f>SUM(C6:N6)</f>
        <v>1661134.5</v>
      </c>
      <c r="P6" s="134">
        <f aca="true" t="shared" si="0" ref="P6:P15">+O6/$O$19</f>
        <v>0.12181600103431818</v>
      </c>
      <c r="Q6" s="135"/>
      <c r="R6" s="54"/>
      <c r="S6" s="54" t="s">
        <v>17</v>
      </c>
      <c r="T6" s="96">
        <f>O6</f>
        <v>1661134.5</v>
      </c>
      <c r="U6" s="103">
        <f>T6/T$18</f>
        <v>0.12181600103431818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3"/>
      <c r="B7" s="108" t="s">
        <v>18</v>
      </c>
      <c r="C7" s="110">
        <v>123796</v>
      </c>
      <c r="D7" s="111">
        <v>89619</v>
      </c>
      <c r="E7" s="111">
        <v>139833</v>
      </c>
      <c r="F7" s="111">
        <v>135367</v>
      </c>
      <c r="G7" s="111">
        <v>111448</v>
      </c>
      <c r="H7" s="111">
        <v>120576</v>
      </c>
      <c r="I7" s="111">
        <v>91226</v>
      </c>
      <c r="J7" s="111">
        <v>64351</v>
      </c>
      <c r="K7" s="111">
        <v>46479</v>
      </c>
      <c r="L7" s="111">
        <v>37451</v>
      </c>
      <c r="M7" s="111">
        <v>97091.35</v>
      </c>
      <c r="N7" s="111">
        <v>132611</v>
      </c>
      <c r="O7" s="133">
        <f aca="true" t="shared" si="1" ref="O7:O14">SUM(C7:N7)</f>
        <v>1189848.35</v>
      </c>
      <c r="P7" s="134">
        <f t="shared" si="0"/>
        <v>0.08725516677564749</v>
      </c>
      <c r="Q7" s="135"/>
      <c r="R7" s="54"/>
      <c r="S7" s="54" t="s">
        <v>18</v>
      </c>
      <c r="T7" s="96">
        <f aca="true" t="shared" si="2" ref="T7:T14">O7</f>
        <v>1189848.35</v>
      </c>
      <c r="U7" s="103">
        <f aca="true" t="shared" si="3" ref="U7:U15">T7/T$18</f>
        <v>0.08725516677564749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3"/>
      <c r="B8" s="108" t="s">
        <v>19</v>
      </c>
      <c r="C8" s="110">
        <v>126034</v>
      </c>
      <c r="D8" s="111">
        <v>131205</v>
      </c>
      <c r="E8" s="111">
        <v>152772</v>
      </c>
      <c r="F8" s="111">
        <v>141416</v>
      </c>
      <c r="G8" s="111">
        <v>130654</v>
      </c>
      <c r="H8" s="111">
        <v>117035</v>
      </c>
      <c r="I8" s="111">
        <v>92671</v>
      </c>
      <c r="J8" s="111">
        <v>68033</v>
      </c>
      <c r="K8" s="111">
        <v>57498</v>
      </c>
      <c r="L8" s="111">
        <v>97679</v>
      </c>
      <c r="M8" s="111">
        <v>126692</v>
      </c>
      <c r="N8" s="111">
        <v>100534</v>
      </c>
      <c r="O8" s="133">
        <f t="shared" si="1"/>
        <v>1342223</v>
      </c>
      <c r="P8" s="134">
        <f t="shared" si="0"/>
        <v>0.09842925925401323</v>
      </c>
      <c r="Q8" s="135"/>
      <c r="R8" s="54"/>
      <c r="S8" s="54" t="s">
        <v>19</v>
      </c>
      <c r="T8" s="96">
        <f t="shared" si="2"/>
        <v>1342223</v>
      </c>
      <c r="U8" s="103">
        <f t="shared" si="3"/>
        <v>0.09842925925401323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3"/>
      <c r="B9" s="108" t="s">
        <v>20</v>
      </c>
      <c r="C9" s="110">
        <v>68986</v>
      </c>
      <c r="D9" s="111">
        <v>81985</v>
      </c>
      <c r="E9" s="111">
        <v>95386</v>
      </c>
      <c r="F9" s="111">
        <v>90819</v>
      </c>
      <c r="G9" s="111">
        <v>109981</v>
      </c>
      <c r="H9" s="111">
        <v>95253</v>
      </c>
      <c r="I9" s="111">
        <v>69162</v>
      </c>
      <c r="J9" s="111">
        <v>43028</v>
      </c>
      <c r="K9" s="111">
        <v>47922</v>
      </c>
      <c r="L9" s="111">
        <v>51880</v>
      </c>
      <c r="M9" s="111">
        <v>95143</v>
      </c>
      <c r="N9" s="111">
        <v>102597</v>
      </c>
      <c r="O9" s="133">
        <f t="shared" si="1"/>
        <v>952142</v>
      </c>
      <c r="P9" s="134">
        <f t="shared" si="0"/>
        <v>0.06982344347000063</v>
      </c>
      <c r="Q9" s="135"/>
      <c r="R9" s="54"/>
      <c r="S9" s="54" t="s">
        <v>20</v>
      </c>
      <c r="T9" s="96">
        <f t="shared" si="2"/>
        <v>952142</v>
      </c>
      <c r="U9" s="103">
        <f t="shared" si="3"/>
        <v>0.06982344347000063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3"/>
      <c r="B10" s="108" t="s">
        <v>21</v>
      </c>
      <c r="C10" s="110">
        <v>330884</v>
      </c>
      <c r="D10" s="111">
        <v>363460</v>
      </c>
      <c r="E10" s="111">
        <v>354543</v>
      </c>
      <c r="F10" s="111">
        <v>341799</v>
      </c>
      <c r="G10" s="111">
        <v>313537</v>
      </c>
      <c r="H10" s="111">
        <v>277393</v>
      </c>
      <c r="I10" s="111">
        <v>213267</v>
      </c>
      <c r="J10" s="111">
        <v>121270</v>
      </c>
      <c r="K10" s="111">
        <v>105254</v>
      </c>
      <c r="L10" s="111">
        <v>198432</v>
      </c>
      <c r="M10" s="111">
        <v>313519</v>
      </c>
      <c r="N10" s="111">
        <v>203487</v>
      </c>
      <c r="O10" s="133">
        <f t="shared" si="1"/>
        <v>3136845</v>
      </c>
      <c r="P10" s="134">
        <f t="shared" si="0"/>
        <v>0.23003430111438647</v>
      </c>
      <c r="Q10" s="135"/>
      <c r="R10" s="54"/>
      <c r="S10" s="54" t="s">
        <v>21</v>
      </c>
      <c r="T10" s="96">
        <f t="shared" si="2"/>
        <v>3136845</v>
      </c>
      <c r="U10" s="103">
        <f t="shared" si="3"/>
        <v>0.23003430111438647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3"/>
      <c r="B11" s="108" t="s">
        <v>22</v>
      </c>
      <c r="C11" s="110">
        <v>52980</v>
      </c>
      <c r="D11" s="111">
        <v>32600</v>
      </c>
      <c r="E11" s="111">
        <v>36002</v>
      </c>
      <c r="F11" s="111">
        <v>46682</v>
      </c>
      <c r="G11" s="111">
        <v>50082</v>
      </c>
      <c r="H11" s="111">
        <v>39516</v>
      </c>
      <c r="I11" s="111">
        <v>37896</v>
      </c>
      <c r="J11" s="111">
        <v>21204</v>
      </c>
      <c r="K11" s="111">
        <v>23906</v>
      </c>
      <c r="L11" s="111">
        <v>35580</v>
      </c>
      <c r="M11" s="111">
        <v>41180</v>
      </c>
      <c r="N11" s="111">
        <v>30309</v>
      </c>
      <c r="O11" s="133">
        <f t="shared" si="1"/>
        <v>447937</v>
      </c>
      <c r="P11" s="134">
        <f t="shared" si="0"/>
        <v>0.032848570693889856</v>
      </c>
      <c r="Q11" s="135"/>
      <c r="R11" s="54"/>
      <c r="S11" s="54" t="s">
        <v>22</v>
      </c>
      <c r="T11" s="96">
        <f t="shared" si="2"/>
        <v>447937</v>
      </c>
      <c r="U11" s="103">
        <f t="shared" si="3"/>
        <v>0.032848570693889856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3"/>
      <c r="B12" s="108" t="s">
        <v>23</v>
      </c>
      <c r="C12" s="110">
        <v>117519</v>
      </c>
      <c r="D12" s="111">
        <v>88704</v>
      </c>
      <c r="E12" s="111">
        <v>71884</v>
      </c>
      <c r="F12" s="111">
        <v>45754</v>
      </c>
      <c r="G12" s="111">
        <v>41731</v>
      </c>
      <c r="H12" s="111">
        <v>43085</v>
      </c>
      <c r="I12" s="111">
        <v>38168</v>
      </c>
      <c r="J12" s="111">
        <v>34244</v>
      </c>
      <c r="K12" s="111">
        <v>33774</v>
      </c>
      <c r="L12" s="111">
        <v>39003</v>
      </c>
      <c r="M12" s="111">
        <v>72173</v>
      </c>
      <c r="N12" s="111">
        <v>57943</v>
      </c>
      <c r="O12" s="133">
        <f t="shared" si="1"/>
        <v>683982</v>
      </c>
      <c r="P12" s="134">
        <f t="shared" si="0"/>
        <v>0.05015846219523766</v>
      </c>
      <c r="Q12" s="135"/>
      <c r="R12" s="54"/>
      <c r="S12" s="54" t="s">
        <v>23</v>
      </c>
      <c r="T12" s="96">
        <f t="shared" si="2"/>
        <v>683982</v>
      </c>
      <c r="U12" s="103">
        <f t="shared" si="3"/>
        <v>0.05015846219523766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3"/>
      <c r="B13" s="108" t="s">
        <v>24</v>
      </c>
      <c r="C13" s="110">
        <v>89650</v>
      </c>
      <c r="D13" s="111">
        <v>115815</v>
      </c>
      <c r="E13" s="111">
        <v>77615</v>
      </c>
      <c r="F13" s="111">
        <v>87491</v>
      </c>
      <c r="G13" s="111">
        <v>101600</v>
      </c>
      <c r="H13" s="111">
        <v>83578</v>
      </c>
      <c r="I13" s="111">
        <v>75000</v>
      </c>
      <c r="J13" s="111">
        <v>79695</v>
      </c>
      <c r="K13" s="111">
        <v>92578</v>
      </c>
      <c r="L13" s="111">
        <v>110175</v>
      </c>
      <c r="M13" s="111">
        <v>110650</v>
      </c>
      <c r="N13" s="111">
        <v>92184</v>
      </c>
      <c r="O13" s="133">
        <f t="shared" si="1"/>
        <v>1116031</v>
      </c>
      <c r="P13" s="134">
        <f t="shared" si="0"/>
        <v>0.08184191794844496</v>
      </c>
      <c r="Q13" s="135"/>
      <c r="R13" s="54"/>
      <c r="S13" s="54" t="s">
        <v>24</v>
      </c>
      <c r="T13" s="96">
        <f t="shared" si="2"/>
        <v>1116031</v>
      </c>
      <c r="U13" s="103">
        <f t="shared" si="3"/>
        <v>0.08184191794844496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3"/>
      <c r="B14" s="108" t="s">
        <v>25</v>
      </c>
      <c r="C14" s="110">
        <v>50208</v>
      </c>
      <c r="D14" s="111">
        <v>153162</v>
      </c>
      <c r="E14" s="111">
        <v>143735</v>
      </c>
      <c r="F14" s="111">
        <v>152451</v>
      </c>
      <c r="G14" s="111">
        <v>143948</v>
      </c>
      <c r="H14" s="111">
        <v>124585</v>
      </c>
      <c r="I14" s="111">
        <v>78984</v>
      </c>
      <c r="J14" s="111">
        <v>31270</v>
      </c>
      <c r="K14" s="111">
        <v>24831</v>
      </c>
      <c r="L14" s="111">
        <v>106614</v>
      </c>
      <c r="M14" s="111">
        <v>106959</v>
      </c>
      <c r="N14" s="111">
        <v>113189</v>
      </c>
      <c r="O14" s="133">
        <f t="shared" si="1"/>
        <v>1229936</v>
      </c>
      <c r="P14" s="134">
        <f t="shared" si="0"/>
        <v>0.09019491501028072</v>
      </c>
      <c r="Q14" s="135"/>
      <c r="R14" s="54"/>
      <c r="S14" s="54" t="s">
        <v>25</v>
      </c>
      <c r="T14" s="96">
        <f t="shared" si="2"/>
        <v>1229936</v>
      </c>
      <c r="U14" s="103">
        <f t="shared" si="3"/>
        <v>0.09019491501028072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66" s="115" customFormat="1" ht="15">
      <c r="A15" s="136"/>
      <c r="B15" s="112" t="s">
        <v>26</v>
      </c>
      <c r="C15" s="113">
        <f aca="true" t="shared" si="4" ref="C15:K15">SUM(C6:C14)</f>
        <v>1145029</v>
      </c>
      <c r="D15" s="114">
        <f t="shared" si="4"/>
        <v>1234552</v>
      </c>
      <c r="E15" s="114">
        <f t="shared" si="4"/>
        <v>1245820</v>
      </c>
      <c r="F15" s="114">
        <f t="shared" si="4"/>
        <v>1228548</v>
      </c>
      <c r="G15" s="114">
        <f t="shared" si="4"/>
        <v>1176552</v>
      </c>
      <c r="H15" s="114">
        <f t="shared" si="4"/>
        <v>1060592</v>
      </c>
      <c r="I15" s="114">
        <f t="shared" si="4"/>
        <v>824912</v>
      </c>
      <c r="J15" s="114">
        <f t="shared" si="4"/>
        <v>549980</v>
      </c>
      <c r="K15" s="114">
        <f t="shared" si="4"/>
        <v>482189</v>
      </c>
      <c r="L15" s="114">
        <f>SUM(L6:L14)</f>
        <v>785362.5</v>
      </c>
      <c r="M15" s="114">
        <f>SUM(M6:M14)</f>
        <v>1065402.85</v>
      </c>
      <c r="N15" s="114">
        <f>SUM(N6:N14)</f>
        <v>961139.5</v>
      </c>
      <c r="O15" s="137">
        <f>SUM(O6:O14)</f>
        <v>11760078.85</v>
      </c>
      <c r="P15" s="138">
        <f t="shared" si="0"/>
        <v>0.8624020374962191</v>
      </c>
      <c r="Q15" s="139"/>
      <c r="R15" s="118"/>
      <c r="S15" s="118" t="s">
        <v>27</v>
      </c>
      <c r="T15" s="119">
        <f>O17</f>
        <v>1876344</v>
      </c>
      <c r="U15" s="120">
        <f t="shared" si="3"/>
        <v>0.1375979625037808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</row>
    <row r="16" spans="1:35" ht="15">
      <c r="A16" s="123"/>
      <c r="B16" s="108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33"/>
      <c r="P16" s="140"/>
      <c r="Q16" s="135"/>
      <c r="R16" s="54"/>
      <c r="S16" s="54"/>
      <c r="T16" s="9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123"/>
      <c r="B17" s="108" t="s">
        <v>27</v>
      </c>
      <c r="C17" s="110">
        <v>219971</v>
      </c>
      <c r="D17" s="111">
        <v>378427</v>
      </c>
      <c r="E17" s="111">
        <v>376773</v>
      </c>
      <c r="F17" s="111">
        <v>375509</v>
      </c>
      <c r="G17" s="111">
        <v>279005</v>
      </c>
      <c r="H17" s="111">
        <v>246659</v>
      </c>
      <c r="I17" s="111"/>
      <c r="J17" s="111"/>
      <c r="K17" s="111"/>
      <c r="L17" s="111"/>
      <c r="M17" s="111"/>
      <c r="N17" s="111"/>
      <c r="O17" s="133">
        <f>SUM(C17:N17)</f>
        <v>1876344</v>
      </c>
      <c r="P17" s="134">
        <f>+O17/$O$19</f>
        <v>0.1375979625037808</v>
      </c>
      <c r="Q17" s="1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3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/>
      <c r="Q18" s="135"/>
      <c r="R18" s="12"/>
      <c r="S18" s="12"/>
      <c r="T18" s="42">
        <f>SUM(T6:T15)</f>
        <v>13636422.85</v>
      </c>
      <c r="U18" s="103">
        <f>SUM(U6:U15)</f>
        <v>1.0000000000000002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3"/>
      <c r="B19" s="146" t="s">
        <v>28</v>
      </c>
      <c r="C19" s="147">
        <f aca="true" t="shared" si="5" ref="C19:H19">+C15+C17</f>
        <v>1365000</v>
      </c>
      <c r="D19" s="148">
        <f t="shared" si="5"/>
        <v>1612979</v>
      </c>
      <c r="E19" s="148">
        <f t="shared" si="5"/>
        <v>1622593</v>
      </c>
      <c r="F19" s="148">
        <f t="shared" si="5"/>
        <v>1604057</v>
      </c>
      <c r="G19" s="148">
        <f t="shared" si="5"/>
        <v>1455557</v>
      </c>
      <c r="H19" s="148">
        <f t="shared" si="5"/>
        <v>1307251</v>
      </c>
      <c r="I19" s="148">
        <f aca="true" t="shared" si="6" ref="I19:N19">+I15+I17</f>
        <v>824912</v>
      </c>
      <c r="J19" s="148">
        <f t="shared" si="6"/>
        <v>549980</v>
      </c>
      <c r="K19" s="148">
        <f t="shared" si="6"/>
        <v>482189</v>
      </c>
      <c r="L19" s="148">
        <f t="shared" si="6"/>
        <v>785362.5</v>
      </c>
      <c r="M19" s="148">
        <f t="shared" si="6"/>
        <v>1065402.85</v>
      </c>
      <c r="N19" s="148">
        <f t="shared" si="6"/>
        <v>961139.5</v>
      </c>
      <c r="O19" s="147">
        <f>+O15+O17</f>
        <v>13636422.85</v>
      </c>
      <c r="P19" s="149">
        <f>+P15+P17</f>
        <v>1</v>
      </c>
      <c r="Q19" s="1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3"/>
      <c r="B20" s="150" t="s">
        <v>50</v>
      </c>
      <c r="C20" s="147">
        <f>C19</f>
        <v>1365000</v>
      </c>
      <c r="D20" s="151">
        <f>C20+D19</f>
        <v>2977979</v>
      </c>
      <c r="E20" s="151">
        <f>D20+E19</f>
        <v>4600572</v>
      </c>
      <c r="F20" s="151">
        <f>E20+F19</f>
        <v>6204629</v>
      </c>
      <c r="G20" s="151">
        <f>F20+G19</f>
        <v>7660186</v>
      </c>
      <c r="H20" s="151">
        <f>G20+H19</f>
        <v>8967437</v>
      </c>
      <c r="I20" s="151">
        <f aca="true" t="shared" si="7" ref="I20:N20">H20+I19</f>
        <v>9792349</v>
      </c>
      <c r="J20" s="151">
        <f t="shared" si="7"/>
        <v>10342329</v>
      </c>
      <c r="K20" s="151">
        <f t="shared" si="7"/>
        <v>10824518</v>
      </c>
      <c r="L20" s="151">
        <f t="shared" si="7"/>
        <v>11609880.5</v>
      </c>
      <c r="M20" s="151">
        <f t="shared" si="7"/>
        <v>12675283.35</v>
      </c>
      <c r="N20" s="151">
        <f t="shared" si="7"/>
        <v>13636422.85</v>
      </c>
      <c r="O20" s="152"/>
      <c r="P20" s="153"/>
      <c r="Q20" s="1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thickBot="1">
      <c r="A21" s="123"/>
      <c r="B21" s="104"/>
      <c r="C21" s="15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55"/>
      <c r="P21" s="156"/>
      <c r="Q21" s="15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>
      <c r="A23" s="122" t="s">
        <v>30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>
      <c r="A25" s="123" t="s">
        <v>46</v>
      </c>
      <c r="B25" s="123"/>
      <c r="C25" s="124" t="s">
        <v>53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v>1998</v>
      </c>
      <c r="P27" s="127"/>
      <c r="Q27" s="12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6.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thickTop="1">
      <c r="A29" s="123"/>
      <c r="B29" s="108"/>
      <c r="C29" s="10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1"/>
      <c r="P29" s="132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>
      <c r="A30" s="123"/>
      <c r="B30" s="108" t="s">
        <v>31</v>
      </c>
      <c r="C30" s="110">
        <v>553945</v>
      </c>
      <c r="D30" s="111">
        <v>1219308</v>
      </c>
      <c r="E30" s="111">
        <v>1104218</v>
      </c>
      <c r="F30" s="111">
        <v>1260356</v>
      </c>
      <c r="G30" s="111">
        <v>1140432</v>
      </c>
      <c r="H30" s="111">
        <v>893787</v>
      </c>
      <c r="I30" s="111">
        <v>564912</v>
      </c>
      <c r="J30" s="111">
        <v>336800</v>
      </c>
      <c r="K30" s="111">
        <v>116790</v>
      </c>
      <c r="L30" s="111">
        <v>272907</v>
      </c>
      <c r="M30" s="111">
        <v>767295</v>
      </c>
      <c r="N30" s="111">
        <v>431101</v>
      </c>
      <c r="O30" s="133">
        <f aca="true" t="shared" si="8" ref="O30:O42">SUM(C30:N30)</f>
        <v>8661851</v>
      </c>
      <c r="P30" s="134">
        <f aca="true" t="shared" si="9" ref="P30:P40">+O30/$O$45</f>
        <v>0.1260826640121317</v>
      </c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>
      <c r="A31" s="123"/>
      <c r="B31" s="108" t="s">
        <v>17</v>
      </c>
      <c r="C31" s="110">
        <v>858348</v>
      </c>
      <c r="D31" s="111">
        <v>842411</v>
      </c>
      <c r="E31" s="111">
        <v>869334</v>
      </c>
      <c r="F31" s="111">
        <v>874066</v>
      </c>
      <c r="G31" s="111">
        <v>793521</v>
      </c>
      <c r="H31" s="111">
        <v>691526</v>
      </c>
      <c r="I31" s="111">
        <v>510538</v>
      </c>
      <c r="J31" s="111">
        <v>325024</v>
      </c>
      <c r="K31" s="111">
        <v>200120</v>
      </c>
      <c r="L31" s="111">
        <v>467273</v>
      </c>
      <c r="M31" s="111">
        <v>450704</v>
      </c>
      <c r="N31" s="111">
        <v>559779</v>
      </c>
      <c r="O31" s="133">
        <f t="shared" si="8"/>
        <v>7442644</v>
      </c>
      <c r="P31" s="134">
        <f t="shared" si="9"/>
        <v>0.10833577982510989</v>
      </c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>
      <c r="A32" s="123"/>
      <c r="B32" s="108" t="s">
        <v>18</v>
      </c>
      <c r="C32" s="110">
        <v>524884</v>
      </c>
      <c r="D32" s="111">
        <v>385519</v>
      </c>
      <c r="E32" s="111">
        <v>603336</v>
      </c>
      <c r="F32" s="111">
        <v>565735</v>
      </c>
      <c r="G32" s="111">
        <v>486178</v>
      </c>
      <c r="H32" s="111">
        <v>475644</v>
      </c>
      <c r="I32" s="111">
        <v>351043</v>
      </c>
      <c r="J32" s="111">
        <v>244880</v>
      </c>
      <c r="K32" s="111">
        <v>158001</v>
      </c>
      <c r="L32" s="111">
        <v>139872</v>
      </c>
      <c r="M32" s="111">
        <v>384781</v>
      </c>
      <c r="N32" s="111">
        <v>531082</v>
      </c>
      <c r="O32" s="133">
        <f t="shared" si="8"/>
        <v>4850955</v>
      </c>
      <c r="P32" s="134">
        <f t="shared" si="9"/>
        <v>0.07061092708740549</v>
      </c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">
      <c r="A33" s="123"/>
      <c r="B33" s="108" t="s">
        <v>19</v>
      </c>
      <c r="C33" s="110">
        <v>539266</v>
      </c>
      <c r="D33" s="111">
        <v>572754</v>
      </c>
      <c r="E33" s="111">
        <v>667397</v>
      </c>
      <c r="F33" s="111">
        <v>618568</v>
      </c>
      <c r="G33" s="111">
        <v>577314</v>
      </c>
      <c r="H33" s="111">
        <v>472459</v>
      </c>
      <c r="I33" s="111">
        <v>347960</v>
      </c>
      <c r="J33" s="111">
        <v>252243</v>
      </c>
      <c r="K33" s="111">
        <v>207399</v>
      </c>
      <c r="L33" s="111">
        <v>391382</v>
      </c>
      <c r="M33" s="111">
        <v>506477</v>
      </c>
      <c r="N33" s="111">
        <v>385086</v>
      </c>
      <c r="O33" s="133">
        <f t="shared" si="8"/>
        <v>5538305</v>
      </c>
      <c r="P33" s="134">
        <f t="shared" si="9"/>
        <v>0.08061605406416124</v>
      </c>
      <c r="Q33" s="12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">
      <c r="A34" s="123"/>
      <c r="B34" s="108" t="s">
        <v>20</v>
      </c>
      <c r="C34" s="110">
        <v>205722</v>
      </c>
      <c r="D34" s="111">
        <v>377572</v>
      </c>
      <c r="E34" s="111">
        <v>430457</v>
      </c>
      <c r="F34" s="111">
        <v>438904</v>
      </c>
      <c r="G34" s="111">
        <v>469184</v>
      </c>
      <c r="H34" s="111">
        <v>381012</v>
      </c>
      <c r="I34" s="111">
        <v>200998</v>
      </c>
      <c r="J34" s="111">
        <v>110384</v>
      </c>
      <c r="K34" s="111">
        <v>118290</v>
      </c>
      <c r="L34" s="111">
        <v>219835</v>
      </c>
      <c r="M34" s="111">
        <v>262171</v>
      </c>
      <c r="N34" s="111">
        <v>267019</v>
      </c>
      <c r="O34" s="133">
        <f t="shared" si="8"/>
        <v>3481548</v>
      </c>
      <c r="P34" s="134">
        <f t="shared" si="9"/>
        <v>0.050677718506830595</v>
      </c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">
      <c r="A35" s="123"/>
      <c r="B35" s="108" t="s">
        <v>21</v>
      </c>
      <c r="C35" s="110">
        <v>1689887</v>
      </c>
      <c r="D35" s="111">
        <v>1785986</v>
      </c>
      <c r="E35" s="111">
        <v>1669022</v>
      </c>
      <c r="F35" s="111">
        <v>1630269</v>
      </c>
      <c r="G35" s="111">
        <v>1521222</v>
      </c>
      <c r="H35" s="111">
        <v>1283961</v>
      </c>
      <c r="I35" s="111">
        <v>865569</v>
      </c>
      <c r="J35" s="111">
        <v>505616</v>
      </c>
      <c r="K35" s="111">
        <v>463832</v>
      </c>
      <c r="L35" s="111">
        <v>916490</v>
      </c>
      <c r="M35" s="111">
        <v>1500197</v>
      </c>
      <c r="N35" s="111">
        <v>904319</v>
      </c>
      <c r="O35" s="133">
        <f t="shared" si="8"/>
        <v>14736370</v>
      </c>
      <c r="P35" s="134">
        <f t="shared" si="9"/>
        <v>0.21450389616127746</v>
      </c>
      <c r="Q35" s="12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">
      <c r="A36" s="123"/>
      <c r="B36" s="108" t="s">
        <v>22</v>
      </c>
      <c r="C36" s="110">
        <v>256868</v>
      </c>
      <c r="D36" s="111">
        <v>128692</v>
      </c>
      <c r="E36" s="111">
        <v>163345</v>
      </c>
      <c r="F36" s="111">
        <v>213803</v>
      </c>
      <c r="G36" s="111">
        <v>228575</v>
      </c>
      <c r="H36" s="111">
        <v>189393</v>
      </c>
      <c r="I36" s="111">
        <v>171557</v>
      </c>
      <c r="J36" s="111">
        <v>91401</v>
      </c>
      <c r="K36" s="111">
        <v>97481</v>
      </c>
      <c r="L36" s="111">
        <v>155679</v>
      </c>
      <c r="M36" s="111">
        <v>177047</v>
      </c>
      <c r="N36" s="111">
        <v>169668</v>
      </c>
      <c r="O36" s="133">
        <f t="shared" si="8"/>
        <v>2043509</v>
      </c>
      <c r="P36" s="134">
        <f t="shared" si="9"/>
        <v>0.029745496505627637</v>
      </c>
      <c r="Q36" s="12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">
      <c r="A37" s="123"/>
      <c r="B37" s="108" t="s">
        <v>23</v>
      </c>
      <c r="C37" s="110">
        <v>551208</v>
      </c>
      <c r="D37" s="111">
        <v>309299</v>
      </c>
      <c r="E37" s="111">
        <v>328728</v>
      </c>
      <c r="F37" s="111">
        <v>203548</v>
      </c>
      <c r="G37" s="111">
        <v>189465</v>
      </c>
      <c r="H37" s="111"/>
      <c r="I37" s="111">
        <v>165380</v>
      </c>
      <c r="J37" s="111">
        <v>152300</v>
      </c>
      <c r="K37" s="111">
        <v>144938</v>
      </c>
      <c r="L37" s="111">
        <v>168745</v>
      </c>
      <c r="M37" s="111">
        <v>325408</v>
      </c>
      <c r="N37" s="111">
        <v>260418</v>
      </c>
      <c r="O37" s="133">
        <f t="shared" si="8"/>
        <v>2799437</v>
      </c>
      <c r="P37" s="134">
        <f t="shared" si="9"/>
        <v>0.04074885087426809</v>
      </c>
      <c r="Q37" s="12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">
      <c r="A38" s="123"/>
      <c r="B38" s="108" t="s">
        <v>24</v>
      </c>
      <c r="C38" s="110">
        <v>394458</v>
      </c>
      <c r="D38" s="111">
        <v>503800</v>
      </c>
      <c r="E38" s="111">
        <v>509536</v>
      </c>
      <c r="F38" s="111"/>
      <c r="G38" s="111"/>
      <c r="H38" s="111"/>
      <c r="I38" s="111">
        <v>310835</v>
      </c>
      <c r="J38" s="111">
        <v>318611</v>
      </c>
      <c r="K38" s="111">
        <v>326488</v>
      </c>
      <c r="L38" s="111">
        <v>473692</v>
      </c>
      <c r="M38" s="111">
        <v>462301</v>
      </c>
      <c r="N38" s="111">
        <v>375424</v>
      </c>
      <c r="O38" s="133">
        <f t="shared" si="8"/>
        <v>3675145</v>
      </c>
      <c r="P38" s="134">
        <f t="shared" si="9"/>
        <v>0.053495733444371855</v>
      </c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">
      <c r="A39" s="123"/>
      <c r="B39" s="108" t="s">
        <v>25</v>
      </c>
      <c r="C39" s="110">
        <v>605379</v>
      </c>
      <c r="D39" s="111">
        <v>711775</v>
      </c>
      <c r="E39" s="111">
        <v>670757</v>
      </c>
      <c r="F39" s="111">
        <v>569671</v>
      </c>
      <c r="G39" s="111">
        <v>504904</v>
      </c>
      <c r="H39" s="111">
        <v>435406</v>
      </c>
      <c r="I39" s="111">
        <v>386775</v>
      </c>
      <c r="J39" s="111">
        <v>117719</v>
      </c>
      <c r="K39" s="111">
        <v>104463</v>
      </c>
      <c r="L39" s="111">
        <v>464516</v>
      </c>
      <c r="M39" s="111">
        <v>481970</v>
      </c>
      <c r="N39" s="111">
        <v>539882</v>
      </c>
      <c r="O39" s="133">
        <f>SUM(C39:N39)</f>
        <v>5593217</v>
      </c>
      <c r="P39" s="134">
        <f t="shared" si="9"/>
        <v>0.08141535795962586</v>
      </c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>
      <c r="A40" s="123"/>
      <c r="B40" s="162" t="s">
        <v>26</v>
      </c>
      <c r="C40" s="163">
        <f aca="true" t="shared" si="10" ref="C40:O40">SUM(C30:C39)</f>
        <v>6179965</v>
      </c>
      <c r="D40" s="164">
        <f t="shared" si="10"/>
        <v>6837116</v>
      </c>
      <c r="E40" s="164">
        <f t="shared" si="10"/>
        <v>7016130</v>
      </c>
      <c r="F40" s="164">
        <f t="shared" si="10"/>
        <v>6374920</v>
      </c>
      <c r="G40" s="164">
        <f t="shared" si="10"/>
        <v>5910795</v>
      </c>
      <c r="H40" s="164">
        <f t="shared" si="10"/>
        <v>4823188</v>
      </c>
      <c r="I40" s="164">
        <f t="shared" si="10"/>
        <v>3875567</v>
      </c>
      <c r="J40" s="164">
        <f t="shared" si="10"/>
        <v>2454978</v>
      </c>
      <c r="K40" s="164">
        <f t="shared" si="10"/>
        <v>1937802</v>
      </c>
      <c r="L40" s="164">
        <f t="shared" si="10"/>
        <v>3670391</v>
      </c>
      <c r="M40" s="164">
        <f t="shared" si="10"/>
        <v>5318351</v>
      </c>
      <c r="N40" s="164">
        <f t="shared" si="10"/>
        <v>4423778</v>
      </c>
      <c r="O40" s="133">
        <f t="shared" si="10"/>
        <v>58822981</v>
      </c>
      <c r="P40" s="134">
        <f t="shared" si="9"/>
        <v>0.8562324784408099</v>
      </c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">
      <c r="A41" s="123"/>
      <c r="B41" s="108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/>
      <c r="P41" s="140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">
      <c r="A42" s="123"/>
      <c r="B42" s="108" t="s">
        <v>27</v>
      </c>
      <c r="C42" s="110">
        <f aca="true" t="shared" si="11" ref="C42:H42">C40/C15*C17</f>
        <v>1187230.2631767404</v>
      </c>
      <c r="D42" s="110">
        <f t="shared" si="11"/>
        <v>2095779.923836339</v>
      </c>
      <c r="E42" s="110">
        <f t="shared" si="11"/>
        <v>2121886.266467066</v>
      </c>
      <c r="F42" s="110">
        <f t="shared" si="11"/>
        <v>1948511.4413763238</v>
      </c>
      <c r="G42" s="110">
        <f t="shared" si="11"/>
        <v>1401673.1593461232</v>
      </c>
      <c r="H42" s="110">
        <f t="shared" si="11"/>
        <v>1121715.72941527</v>
      </c>
      <c r="I42" s="166"/>
      <c r="J42" s="166"/>
      <c r="K42" s="166"/>
      <c r="L42" s="166"/>
      <c r="M42" s="166"/>
      <c r="N42" s="166"/>
      <c r="O42" s="133">
        <f t="shared" si="8"/>
        <v>9876796.783617862</v>
      </c>
      <c r="P42" s="134">
        <f>+O42/$O$45</f>
        <v>0.1437675215591903</v>
      </c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">
      <c r="A43" s="123"/>
      <c r="B43" s="108" t="s">
        <v>57</v>
      </c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33">
        <f>SUM(C43:N43)</f>
        <v>0</v>
      </c>
      <c r="P43" s="134">
        <f>+O43/$O$45</f>
        <v>0</v>
      </c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">
      <c r="A44" s="123"/>
      <c r="B44" s="141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P44" s="14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">
      <c r="A45" s="123"/>
      <c r="B45" s="146" t="s">
        <v>28</v>
      </c>
      <c r="C45" s="147">
        <f>+C40+C42+C43</f>
        <v>7367195.26317674</v>
      </c>
      <c r="D45" s="148">
        <f aca="true" t="shared" si="12" ref="D45:O45">+D40+D42+D43</f>
        <v>8932895.92383634</v>
      </c>
      <c r="E45" s="148">
        <f t="shared" si="12"/>
        <v>9138016.266467066</v>
      </c>
      <c r="F45" s="148">
        <f t="shared" si="12"/>
        <v>8323431.441376324</v>
      </c>
      <c r="G45" s="148">
        <f t="shared" si="12"/>
        <v>7312468.159346123</v>
      </c>
      <c r="H45" s="148">
        <f t="shared" si="12"/>
        <v>5944903.72941527</v>
      </c>
      <c r="I45" s="148">
        <f t="shared" si="12"/>
        <v>3875567</v>
      </c>
      <c r="J45" s="148">
        <f t="shared" si="12"/>
        <v>2454978</v>
      </c>
      <c r="K45" s="148">
        <f t="shared" si="12"/>
        <v>1937802</v>
      </c>
      <c r="L45" s="148">
        <f t="shared" si="12"/>
        <v>3670391</v>
      </c>
      <c r="M45" s="148">
        <f t="shared" si="12"/>
        <v>5318351</v>
      </c>
      <c r="N45" s="148">
        <f t="shared" si="12"/>
        <v>4423778</v>
      </c>
      <c r="O45" s="147">
        <f t="shared" si="12"/>
        <v>68699777.78361785</v>
      </c>
      <c r="P45" s="149">
        <f>+P40+P42+P43</f>
        <v>1.0000000000000002</v>
      </c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thickBot="1">
      <c r="A46" s="123"/>
      <c r="B46" s="104"/>
      <c r="C46" s="15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55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thickTop="1">
      <c r="A47" s="123"/>
      <c r="B47" s="121">
        <f ca="1">NOW()</f>
        <v>40948.65149502315</v>
      </c>
      <c r="C47" s="122" t="s">
        <v>58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">
      <c r="A48" s="122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2" t="s">
        <v>30</v>
      </c>
      <c r="Q48" s="12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>
      <c r="A51" s="12" t="s">
        <v>46</v>
      </c>
      <c r="B51" s="12"/>
      <c r="C51" s="16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2"/>
      <c r="P51" s="5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">
      <c r="A52" s="12"/>
      <c r="B52" s="12"/>
      <c r="C52" s="24" t="s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6.5" thickBot="1">
      <c r="A53" s="12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1998</v>
      </c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6.5" thickBot="1" thickTop="1">
      <c r="A54" s="12"/>
      <c r="B54" s="30"/>
      <c r="C54" s="32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4" t="s">
        <v>11</v>
      </c>
      <c r="L54" s="33" t="s">
        <v>12</v>
      </c>
      <c r="M54" s="33" t="s">
        <v>13</v>
      </c>
      <c r="N54" s="33" t="s">
        <v>14</v>
      </c>
      <c r="O54" s="35" t="s">
        <v>15</v>
      </c>
      <c r="P54" s="17" t="s">
        <v>16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thickTop="1">
      <c r="A55" s="12"/>
      <c r="B55" s="13"/>
      <c r="C55" s="6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6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">
      <c r="A56" s="12"/>
      <c r="B56" s="62" t="s">
        <v>42</v>
      </c>
      <c r="C56" s="3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">
      <c r="A57" s="12"/>
      <c r="B57" s="36" t="s">
        <v>33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">
        <f aca="true" t="shared" si="13" ref="O57:O70">SUM(C57:N57)</f>
        <v>0</v>
      </c>
      <c r="P57" s="5" t="e">
        <f>+O57/$O$81</f>
        <v>#DIV/0!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">
      <c r="A58" s="12"/>
      <c r="B58" s="62" t="s">
        <v>34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">
        <f t="shared" si="13"/>
        <v>0</v>
      </c>
      <c r="P58" s="5" t="e">
        <f>+O58/$O$82</f>
        <v>#DIV/0!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">
      <c r="A59" s="12"/>
      <c r="B59" s="36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4"/>
      <c r="P59" s="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">
      <c r="A60" s="12"/>
      <c r="B60" s="36" t="s">
        <v>43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4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">
      <c r="A61" s="12"/>
      <c r="B61" s="36" t="s">
        <v>33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">
        <f t="shared" si="13"/>
        <v>0</v>
      </c>
      <c r="P61" s="5" t="e">
        <f>+O61/$O$81</f>
        <v>#DIV/0!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">
      <c r="A62" s="12"/>
      <c r="B62" s="62" t="s">
        <v>34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">
        <f t="shared" si="13"/>
        <v>0</v>
      </c>
      <c r="P62" s="5" t="e">
        <f>+O62/$O$82</f>
        <v>#DIV/0!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">
      <c r="A63" s="12"/>
      <c r="B63" s="3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">
      <c r="A64" s="12"/>
      <c r="B64" s="62" t="s">
        <v>32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"/>
      <c r="P64" s="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">
      <c r="A65" s="12"/>
      <c r="B65" s="36" t="s">
        <v>33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">
        <f t="shared" si="13"/>
        <v>0</v>
      </c>
      <c r="P65" s="5" t="e">
        <f>+O65/$O$81</f>
        <v>#DIV/0!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">
      <c r="A66" s="12"/>
      <c r="B66" s="62" t="s">
        <v>34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">
        <f t="shared" si="13"/>
        <v>0</v>
      </c>
      <c r="P66" s="5" t="e">
        <f>+O66/$O$82</f>
        <v>#DIV/0!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">
      <c r="A67" s="12"/>
      <c r="B67" s="36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"/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">
      <c r="A68" s="12"/>
      <c r="B68" s="62" t="s">
        <v>44</v>
      </c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"/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">
      <c r="A69" s="12"/>
      <c r="B69" s="36" t="s">
        <v>33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4">
        <f t="shared" si="13"/>
        <v>0</v>
      </c>
      <c r="P69" s="5" t="e">
        <f>+O69/$O$81</f>
        <v>#DIV/0!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">
      <c r="A70" s="12"/>
      <c r="B70" s="62" t="s">
        <v>34</v>
      </c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">
        <f t="shared" si="13"/>
        <v>0</v>
      </c>
      <c r="P70" s="5" t="e">
        <f>+O70/$O$82</f>
        <v>#DIV/0!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">
      <c r="A71" s="12"/>
      <c r="B71" s="36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>
      <c r="A72" s="12"/>
      <c r="B72" s="66" t="s">
        <v>28</v>
      </c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"/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>
      <c r="A73" s="12"/>
      <c r="B73" s="67" t="s">
        <v>33</v>
      </c>
      <c r="C73" s="68">
        <f>+C57+C61+C65+C69</f>
        <v>0</v>
      </c>
      <c r="D73" s="69">
        <f aca="true" t="shared" si="14" ref="D73:N74">+D57+D61+D65+D69</f>
        <v>0</v>
      </c>
      <c r="E73" s="69">
        <f t="shared" si="14"/>
        <v>0</v>
      </c>
      <c r="F73" s="69">
        <f t="shared" si="14"/>
        <v>0</v>
      </c>
      <c r="G73" s="69">
        <f t="shared" si="14"/>
        <v>0</v>
      </c>
      <c r="H73" s="69">
        <f t="shared" si="14"/>
        <v>0</v>
      </c>
      <c r="I73" s="69">
        <f t="shared" si="14"/>
        <v>0</v>
      </c>
      <c r="J73" s="69">
        <f t="shared" si="14"/>
        <v>0</v>
      </c>
      <c r="K73" s="69">
        <f t="shared" si="14"/>
        <v>0</v>
      </c>
      <c r="L73" s="69">
        <f t="shared" si="14"/>
        <v>0</v>
      </c>
      <c r="M73" s="69">
        <f t="shared" si="14"/>
        <v>0</v>
      </c>
      <c r="N73" s="69">
        <f t="shared" si="14"/>
        <v>0</v>
      </c>
      <c r="O73" s="70">
        <f>SUM(C73:N73)</f>
        <v>0</v>
      </c>
      <c r="P73" s="71" t="e">
        <f>+P57+P61+P65+P69</f>
        <v>#DIV/0!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>
      <c r="A74" s="12"/>
      <c r="B74" s="43" t="s">
        <v>34</v>
      </c>
      <c r="C74" s="68">
        <f>+C58+C62+C66+C70</f>
        <v>0</v>
      </c>
      <c r="D74" s="69">
        <f t="shared" si="14"/>
        <v>0</v>
      </c>
      <c r="E74" s="69">
        <f t="shared" si="14"/>
        <v>0</v>
      </c>
      <c r="F74" s="69">
        <f t="shared" si="14"/>
        <v>0</v>
      </c>
      <c r="G74" s="69">
        <f t="shared" si="14"/>
        <v>0</v>
      </c>
      <c r="H74" s="69">
        <f t="shared" si="14"/>
        <v>0</v>
      </c>
      <c r="I74" s="69">
        <f t="shared" si="14"/>
        <v>0</v>
      </c>
      <c r="J74" s="69">
        <f t="shared" si="14"/>
        <v>0</v>
      </c>
      <c r="K74" s="69">
        <f t="shared" si="14"/>
        <v>0</v>
      </c>
      <c r="L74" s="69">
        <f t="shared" si="14"/>
        <v>0</v>
      </c>
      <c r="M74" s="69">
        <f t="shared" si="14"/>
        <v>0</v>
      </c>
      <c r="N74" s="69">
        <f t="shared" si="14"/>
        <v>0</v>
      </c>
      <c r="O74" s="70">
        <f>SUM(C74:N74)</f>
        <v>0</v>
      </c>
      <c r="P74" s="71" t="e">
        <f>+P58+P62+P66+P70</f>
        <v>#DIV/0!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>
      <c r="A75" s="12"/>
      <c r="B75" s="7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7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">
      <c r="A76" s="12"/>
      <c r="B76" s="65" t="s">
        <v>27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4"/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">
      <c r="A77" s="12"/>
      <c r="B77" s="36" t="s">
        <v>33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">
        <f>SUM(C77:N77)</f>
        <v>0</v>
      </c>
      <c r="P77" s="5" t="e">
        <f>+O77/$O$81</f>
        <v>#DIV/0!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">
      <c r="A78" s="12"/>
      <c r="B78" s="62" t="s">
        <v>34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4">
        <f>SUM(C78:N78)</f>
        <v>0</v>
      </c>
      <c r="P78" s="5" t="e">
        <f>+O78/$O$82</f>
        <v>#DIV/0!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">
      <c r="A79" s="12"/>
      <c r="B79" s="6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4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>
      <c r="A80" s="12"/>
      <c r="B80" s="43" t="s">
        <v>45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4"/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>
      <c r="A81" s="12"/>
      <c r="B81" s="67" t="s">
        <v>33</v>
      </c>
      <c r="C81" s="68">
        <f aca="true" t="shared" si="15" ref="C81:N82">+C73+C77</f>
        <v>0</v>
      </c>
      <c r="D81" s="69">
        <f t="shared" si="15"/>
        <v>0</v>
      </c>
      <c r="E81" s="69">
        <f t="shared" si="15"/>
        <v>0</v>
      </c>
      <c r="F81" s="69">
        <f t="shared" si="15"/>
        <v>0</v>
      </c>
      <c r="G81" s="69">
        <f t="shared" si="15"/>
        <v>0</v>
      </c>
      <c r="H81" s="69">
        <f t="shared" si="15"/>
        <v>0</v>
      </c>
      <c r="I81" s="69">
        <f t="shared" si="15"/>
        <v>0</v>
      </c>
      <c r="J81" s="69">
        <f t="shared" si="15"/>
        <v>0</v>
      </c>
      <c r="K81" s="69">
        <f t="shared" si="15"/>
        <v>0</v>
      </c>
      <c r="L81" s="69">
        <f t="shared" si="15"/>
        <v>0</v>
      </c>
      <c r="M81" s="69">
        <f t="shared" si="15"/>
        <v>0</v>
      </c>
      <c r="N81" s="69">
        <f t="shared" si="15"/>
        <v>0</v>
      </c>
      <c r="O81" s="68">
        <f>+O73+O77</f>
        <v>0</v>
      </c>
      <c r="P81" s="71" t="e">
        <f>+P73+P77</f>
        <v>#DIV/0!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>
      <c r="A82" s="12"/>
      <c r="B82" s="43" t="s">
        <v>34</v>
      </c>
      <c r="C82" s="68">
        <f t="shared" si="15"/>
        <v>0</v>
      </c>
      <c r="D82" s="69">
        <f t="shared" si="15"/>
        <v>0</v>
      </c>
      <c r="E82" s="69">
        <f t="shared" si="15"/>
        <v>0</v>
      </c>
      <c r="F82" s="69">
        <f t="shared" si="15"/>
        <v>0</v>
      </c>
      <c r="G82" s="69">
        <f t="shared" si="15"/>
        <v>0</v>
      </c>
      <c r="H82" s="69">
        <f t="shared" si="15"/>
        <v>0</v>
      </c>
      <c r="I82" s="69">
        <f t="shared" si="15"/>
        <v>0</v>
      </c>
      <c r="J82" s="69">
        <f t="shared" si="15"/>
        <v>0</v>
      </c>
      <c r="K82" s="69">
        <f t="shared" si="15"/>
        <v>0</v>
      </c>
      <c r="L82" s="69">
        <f t="shared" si="15"/>
        <v>0</v>
      </c>
      <c r="M82" s="69">
        <f t="shared" si="15"/>
        <v>0</v>
      </c>
      <c r="N82" s="69">
        <f t="shared" si="15"/>
        <v>0</v>
      </c>
      <c r="O82" s="68">
        <f>+O74+O78</f>
        <v>0</v>
      </c>
      <c r="P82" s="71" t="e">
        <f>+P74+P78</f>
        <v>#DIV/0!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thickBot="1">
      <c r="A83" s="12"/>
      <c r="B83" s="3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21"/>
      <c r="P83" s="2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thickTop="1">
      <c r="A84" s="12"/>
      <c r="B84" s="1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">
      <c r="A85" s="15" t="s">
        <v>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5" t="s">
        <v>30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sheetProtection/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.1171875" style="12" customWidth="1"/>
    <col min="2" max="2" width="23.10546875" style="12" customWidth="1"/>
    <col min="3" max="15" width="11.5546875" style="12" customWidth="1"/>
    <col min="16" max="16" width="12.88671875" style="12" customWidth="1"/>
    <col min="17" max="17" width="10.6640625" style="12" bestFit="1" customWidth="1"/>
    <col min="18" max="18" width="0.9921875" style="12" customWidth="1"/>
    <col min="19" max="16384" width="11.5546875" style="12" customWidth="1"/>
  </cols>
  <sheetData>
    <row r="1" spans="4:17" ht="15.75">
      <c r="D1" s="16" t="s">
        <v>56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5"/>
    </row>
    <row r="2" spans="4:15" ht="15"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7" ht="16.5" thickBot="1">
      <c r="B3" s="26"/>
      <c r="C3" s="2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>
        <v>1997</v>
      </c>
      <c r="Q3" s="26"/>
    </row>
    <row r="4" spans="2:17" ht="16.5" thickBot="1" thickTop="1">
      <c r="B4" s="30"/>
      <c r="C4" s="31">
        <v>1996</v>
      </c>
      <c r="D4" s="32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4" t="s">
        <v>11</v>
      </c>
      <c r="M4" s="33" t="s">
        <v>12</v>
      </c>
      <c r="N4" s="33" t="s">
        <v>13</v>
      </c>
      <c r="O4" s="33" t="s">
        <v>14</v>
      </c>
      <c r="P4" s="35" t="s">
        <v>15</v>
      </c>
      <c r="Q4" s="17" t="s">
        <v>16</v>
      </c>
    </row>
    <row r="5" spans="2:17" ht="15.75" thickTop="1"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39"/>
    </row>
    <row r="6" spans="2:18" ht="15">
      <c r="B6" s="36" t="s">
        <v>17</v>
      </c>
      <c r="C6" s="19">
        <f>+'1996'!P6</f>
        <v>1177574</v>
      </c>
      <c r="D6" s="40">
        <v>141105</v>
      </c>
      <c r="E6" s="41">
        <v>110396</v>
      </c>
      <c r="F6" s="41">
        <v>103930</v>
      </c>
      <c r="G6" s="41">
        <v>107218</v>
      </c>
      <c r="H6" s="41">
        <v>134175</v>
      </c>
      <c r="I6" s="41">
        <v>117866</v>
      </c>
      <c r="J6" s="41">
        <v>115237</v>
      </c>
      <c r="K6" s="41">
        <v>106036</v>
      </c>
      <c r="L6" s="41">
        <v>73716</v>
      </c>
      <c r="M6" s="41">
        <v>71575</v>
      </c>
      <c r="N6" s="41">
        <v>137031</v>
      </c>
      <c r="O6" s="41">
        <v>166757</v>
      </c>
      <c r="P6" s="90">
        <f aca="true" t="shared" si="0" ref="P6:P14">SUM(D6:O6)</f>
        <v>1385042</v>
      </c>
      <c r="Q6" s="5">
        <f aca="true" t="shared" si="1" ref="Q6:Q15">+P6/$P$19</f>
        <v>0.10469928291859186</v>
      </c>
      <c r="R6" s="42"/>
    </row>
    <row r="7" spans="2:18" ht="15">
      <c r="B7" s="36" t="s">
        <v>18</v>
      </c>
      <c r="C7" s="19">
        <f>+'1996'!P7</f>
        <v>922132</v>
      </c>
      <c r="D7" s="40">
        <v>107764</v>
      </c>
      <c r="E7" s="41">
        <v>105609</v>
      </c>
      <c r="F7" s="41">
        <v>103224</v>
      </c>
      <c r="G7" s="41">
        <v>92660</v>
      </c>
      <c r="H7" s="41">
        <v>95100</v>
      </c>
      <c r="I7" s="41">
        <v>127401</v>
      </c>
      <c r="J7" s="41">
        <v>70977</v>
      </c>
      <c r="K7" s="41">
        <v>56054</v>
      </c>
      <c r="L7" s="41">
        <v>42619</v>
      </c>
      <c r="M7" s="41">
        <v>15736</v>
      </c>
      <c r="N7" s="41">
        <v>23170</v>
      </c>
      <c r="O7" s="41">
        <v>108983</v>
      </c>
      <c r="P7" s="90">
        <f t="shared" si="0"/>
        <v>949297</v>
      </c>
      <c r="Q7" s="5">
        <f t="shared" si="1"/>
        <v>0.07176007310736461</v>
      </c>
      <c r="R7" s="42"/>
    </row>
    <row r="8" spans="2:18" ht="15">
      <c r="B8" s="36" t="s">
        <v>19</v>
      </c>
      <c r="C8" s="19">
        <f>+'1996'!P8</f>
        <v>494828</v>
      </c>
      <c r="D8" s="40">
        <v>103391</v>
      </c>
      <c r="E8" s="41">
        <v>88785</v>
      </c>
      <c r="F8" s="41">
        <v>85834</v>
      </c>
      <c r="G8" s="41">
        <v>95696</v>
      </c>
      <c r="H8" s="41">
        <v>98360</v>
      </c>
      <c r="I8" s="41">
        <v>98593</v>
      </c>
      <c r="J8" s="41">
        <v>72465</v>
      </c>
      <c r="K8" s="41">
        <v>75556</v>
      </c>
      <c r="L8" s="41">
        <v>64326</v>
      </c>
      <c r="M8" s="41">
        <v>27998</v>
      </c>
      <c r="N8" s="41">
        <v>60318</v>
      </c>
      <c r="O8" s="41">
        <v>127048</v>
      </c>
      <c r="P8" s="90">
        <f t="shared" si="0"/>
        <v>998370</v>
      </c>
      <c r="Q8" s="5">
        <f t="shared" si="1"/>
        <v>0.07546964141696393</v>
      </c>
      <c r="R8" s="42"/>
    </row>
    <row r="9" spans="2:18" ht="15">
      <c r="B9" s="36" t="s">
        <v>20</v>
      </c>
      <c r="C9" s="19">
        <f>+'1996'!P9</f>
        <v>134005</v>
      </c>
      <c r="D9" s="40">
        <v>66446</v>
      </c>
      <c r="E9" s="41">
        <v>59055</v>
      </c>
      <c r="F9" s="41">
        <v>50431</v>
      </c>
      <c r="G9" s="41">
        <v>69972</v>
      </c>
      <c r="H9" s="41">
        <v>61056</v>
      </c>
      <c r="I9" s="41">
        <v>57432</v>
      </c>
      <c r="J9" s="41">
        <v>43624</v>
      </c>
      <c r="K9" s="41">
        <v>30470</v>
      </c>
      <c r="L9" s="41">
        <v>38691</v>
      </c>
      <c r="M9" s="41">
        <v>29091</v>
      </c>
      <c r="N9" s="41">
        <v>46408</v>
      </c>
      <c r="O9" s="41">
        <v>71627</v>
      </c>
      <c r="P9" s="90">
        <f t="shared" si="0"/>
        <v>624303</v>
      </c>
      <c r="Q9" s="5">
        <f t="shared" si="1"/>
        <v>0.04719284788759161</v>
      </c>
      <c r="R9" s="42"/>
    </row>
    <row r="10" spans="2:18" ht="15">
      <c r="B10" s="36" t="s">
        <v>21</v>
      </c>
      <c r="C10" s="19">
        <f>+'1996'!P10</f>
        <v>615294</v>
      </c>
      <c r="D10" s="40">
        <v>230716</v>
      </c>
      <c r="E10" s="41">
        <v>215096</v>
      </c>
      <c r="F10" s="41">
        <v>210953</v>
      </c>
      <c r="G10" s="41">
        <v>245856</v>
      </c>
      <c r="H10" s="41">
        <v>285917</v>
      </c>
      <c r="I10" s="41">
        <v>250742</v>
      </c>
      <c r="J10" s="41">
        <v>202380</v>
      </c>
      <c r="K10" s="41">
        <v>176403</v>
      </c>
      <c r="L10" s="41">
        <v>136050</v>
      </c>
      <c r="M10" s="41">
        <v>139763</v>
      </c>
      <c r="N10" s="41">
        <v>276043</v>
      </c>
      <c r="O10" s="41">
        <v>303590</v>
      </c>
      <c r="P10" s="90">
        <f t="shared" si="0"/>
        <v>2673509</v>
      </c>
      <c r="Q10" s="5">
        <f t="shared" si="1"/>
        <v>0.20209818559754983</v>
      </c>
      <c r="R10" s="42"/>
    </row>
    <row r="11" spans="2:18" ht="15">
      <c r="B11" s="36" t="s">
        <v>22</v>
      </c>
      <c r="C11" s="19">
        <f>+'1996'!P11</f>
        <v>187000</v>
      </c>
      <c r="D11" s="40">
        <v>42238</v>
      </c>
      <c r="E11" s="41">
        <v>42615</v>
      </c>
      <c r="F11" s="41">
        <v>34387</v>
      </c>
      <c r="G11" s="41">
        <v>33966</v>
      </c>
      <c r="H11" s="41">
        <v>15260</v>
      </c>
      <c r="I11" s="41">
        <v>30070</v>
      </c>
      <c r="J11" s="41">
        <v>32900</v>
      </c>
      <c r="K11" s="41">
        <v>22359</v>
      </c>
      <c r="L11" s="41">
        <v>30089</v>
      </c>
      <c r="M11" s="41">
        <v>27908</v>
      </c>
      <c r="N11" s="41">
        <v>10572</v>
      </c>
      <c r="O11" s="41">
        <v>25250</v>
      </c>
      <c r="P11" s="90">
        <f t="shared" si="0"/>
        <v>347614</v>
      </c>
      <c r="Q11" s="5">
        <f t="shared" si="1"/>
        <v>0.026277135662646615</v>
      </c>
      <c r="R11" s="42"/>
    </row>
    <row r="12" spans="2:18" ht="15">
      <c r="B12" s="36" t="s">
        <v>23</v>
      </c>
      <c r="C12" s="19">
        <f>+'1996'!P12</f>
        <v>1063788</v>
      </c>
      <c r="D12" s="40">
        <v>118626</v>
      </c>
      <c r="E12" s="41">
        <v>88923</v>
      </c>
      <c r="F12" s="41">
        <v>85363</v>
      </c>
      <c r="G12" s="41">
        <v>112938</v>
      </c>
      <c r="H12" s="41">
        <v>97034</v>
      </c>
      <c r="I12" s="41">
        <v>102311</v>
      </c>
      <c r="J12" s="41">
        <v>104528</v>
      </c>
      <c r="K12" s="41">
        <v>87972</v>
      </c>
      <c r="L12" s="41">
        <v>88567</v>
      </c>
      <c r="M12" s="41">
        <v>43661</v>
      </c>
      <c r="N12" s="41">
        <v>93051</v>
      </c>
      <c r="O12" s="41">
        <v>111356</v>
      </c>
      <c r="P12" s="90">
        <f t="shared" si="0"/>
        <v>1134330</v>
      </c>
      <c r="Q12" s="5">
        <f t="shared" si="1"/>
        <v>0.08574724636007161</v>
      </c>
      <c r="R12" s="42"/>
    </row>
    <row r="13" spans="2:18" ht="15">
      <c r="B13" s="36" t="s">
        <v>24</v>
      </c>
      <c r="C13" s="19">
        <f>+'1996'!P13</f>
        <v>874351</v>
      </c>
      <c r="D13" s="40">
        <v>81638</v>
      </c>
      <c r="E13" s="41">
        <v>111891</v>
      </c>
      <c r="F13" s="41">
        <v>84623</v>
      </c>
      <c r="G13" s="41">
        <v>59428</v>
      </c>
      <c r="H13" s="41">
        <v>52638</v>
      </c>
      <c r="I13" s="41">
        <v>66931</v>
      </c>
      <c r="J13" s="41">
        <v>91567</v>
      </c>
      <c r="K13" s="41">
        <v>68593</v>
      </c>
      <c r="L13" s="41">
        <v>88084</v>
      </c>
      <c r="M13" s="41">
        <v>93064</v>
      </c>
      <c r="N13" s="41">
        <v>50919</v>
      </c>
      <c r="O13" s="41">
        <v>65700</v>
      </c>
      <c r="P13" s="90">
        <f t="shared" si="0"/>
        <v>915076</v>
      </c>
      <c r="Q13" s="5">
        <f t="shared" si="1"/>
        <v>0.06917320992144163</v>
      </c>
      <c r="R13" s="42"/>
    </row>
    <row r="14" spans="2:18" ht="15">
      <c r="B14" s="36" t="s">
        <v>25</v>
      </c>
      <c r="C14" s="19">
        <f>+'1996'!P14</f>
        <v>691417.5</v>
      </c>
      <c r="D14" s="40">
        <v>158445</v>
      </c>
      <c r="E14" s="41">
        <v>100005</v>
      </c>
      <c r="F14" s="41">
        <v>113803</v>
      </c>
      <c r="G14" s="41">
        <v>108795</v>
      </c>
      <c r="H14" s="41">
        <v>125999</v>
      </c>
      <c r="I14" s="41">
        <v>118125</v>
      </c>
      <c r="J14" s="41">
        <v>96117</v>
      </c>
      <c r="K14" s="41">
        <v>48914</v>
      </c>
      <c r="L14" s="41">
        <v>30595</v>
      </c>
      <c r="M14" s="41">
        <v>24240</v>
      </c>
      <c r="N14" s="41">
        <v>95040</v>
      </c>
      <c r="O14" s="41">
        <v>140020</v>
      </c>
      <c r="P14" s="90">
        <f t="shared" si="0"/>
        <v>1160098</v>
      </c>
      <c r="Q14" s="5">
        <f t="shared" si="1"/>
        <v>0.08769512311922135</v>
      </c>
      <c r="R14" s="42"/>
    </row>
    <row r="15" spans="2:18" ht="15.75">
      <c r="B15" s="43" t="s">
        <v>26</v>
      </c>
      <c r="C15" s="6">
        <f aca="true" t="shared" si="2" ref="C15:P15">SUM(C6:C14)</f>
        <v>6160389.5</v>
      </c>
      <c r="D15" s="7">
        <f t="shared" si="2"/>
        <v>1050369</v>
      </c>
      <c r="E15" s="6">
        <f t="shared" si="2"/>
        <v>922375</v>
      </c>
      <c r="F15" s="6">
        <f t="shared" si="2"/>
        <v>872548</v>
      </c>
      <c r="G15" s="6">
        <f t="shared" si="2"/>
        <v>926529</v>
      </c>
      <c r="H15" s="6">
        <f t="shared" si="2"/>
        <v>965539</v>
      </c>
      <c r="I15" s="6">
        <f t="shared" si="2"/>
        <v>969471</v>
      </c>
      <c r="J15" s="6">
        <f t="shared" si="2"/>
        <v>829795</v>
      </c>
      <c r="K15" s="6">
        <f t="shared" si="2"/>
        <v>672357</v>
      </c>
      <c r="L15" s="6">
        <f t="shared" si="2"/>
        <v>592737</v>
      </c>
      <c r="M15" s="6">
        <f t="shared" si="2"/>
        <v>473036</v>
      </c>
      <c r="N15" s="6">
        <f t="shared" si="2"/>
        <v>792552</v>
      </c>
      <c r="O15" s="6">
        <f t="shared" si="2"/>
        <v>1120331</v>
      </c>
      <c r="P15" s="4">
        <f t="shared" si="2"/>
        <v>10187639</v>
      </c>
      <c r="Q15" s="5">
        <f t="shared" si="1"/>
        <v>0.7701127459914431</v>
      </c>
      <c r="R15" s="42"/>
    </row>
    <row r="16" spans="2:18" ht="15">
      <c r="B16" s="36"/>
      <c r="C16" s="41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"/>
      <c r="Q16" s="44"/>
      <c r="R16" s="42"/>
    </row>
    <row r="17" spans="2:18" ht="15">
      <c r="B17" s="36" t="s">
        <v>27</v>
      </c>
      <c r="C17" s="19">
        <f>+'1996'!P17</f>
        <v>2897189</v>
      </c>
      <c r="D17" s="40">
        <v>327804</v>
      </c>
      <c r="E17" s="41">
        <v>194558</v>
      </c>
      <c r="F17" s="41">
        <v>290791</v>
      </c>
      <c r="G17" s="41">
        <v>350002</v>
      </c>
      <c r="H17" s="41">
        <v>362681</v>
      </c>
      <c r="I17" s="41">
        <v>310221</v>
      </c>
      <c r="J17" s="41">
        <v>270247</v>
      </c>
      <c r="K17" s="41">
        <v>220402</v>
      </c>
      <c r="L17" s="41">
        <v>120788</v>
      </c>
      <c r="M17" s="41">
        <v>65907</v>
      </c>
      <c r="N17" s="41">
        <v>156003</v>
      </c>
      <c r="O17" s="41">
        <v>371720</v>
      </c>
      <c r="P17" s="90">
        <f>SUM(D17:O17)</f>
        <v>3041124</v>
      </c>
      <c r="Q17" s="5">
        <f>+P17/$P$19</f>
        <v>0.22988725400855697</v>
      </c>
      <c r="R17" s="42"/>
    </row>
    <row r="18" spans="2:18" ht="15">
      <c r="B18" s="13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"/>
      <c r="Q18" s="14"/>
      <c r="R18" s="42"/>
    </row>
    <row r="19" spans="2:18" ht="15.75">
      <c r="B19" s="47" t="s">
        <v>28</v>
      </c>
      <c r="C19" s="48">
        <f>+C15+C17</f>
        <v>9057578.5</v>
      </c>
      <c r="D19" s="49">
        <f>+D15+D17</f>
        <v>1378173</v>
      </c>
      <c r="E19" s="48">
        <f aca="true" t="shared" si="3" ref="E19:O19">+E15+E17</f>
        <v>1116933</v>
      </c>
      <c r="F19" s="48">
        <f t="shared" si="3"/>
        <v>1163339</v>
      </c>
      <c r="G19" s="48">
        <f t="shared" si="3"/>
        <v>1276531</v>
      </c>
      <c r="H19" s="48">
        <f t="shared" si="3"/>
        <v>1328220</v>
      </c>
      <c r="I19" s="48">
        <f t="shared" si="3"/>
        <v>1279692</v>
      </c>
      <c r="J19" s="48">
        <f t="shared" si="3"/>
        <v>1100042</v>
      </c>
      <c r="K19" s="48">
        <f t="shared" si="3"/>
        <v>892759</v>
      </c>
      <c r="L19" s="48">
        <f t="shared" si="3"/>
        <v>713525</v>
      </c>
      <c r="M19" s="48">
        <f t="shared" si="3"/>
        <v>538943</v>
      </c>
      <c r="N19" s="48">
        <f t="shared" si="3"/>
        <v>948555</v>
      </c>
      <c r="O19" s="48">
        <f t="shared" si="3"/>
        <v>1492051</v>
      </c>
      <c r="P19" s="49">
        <f>+P15+P17</f>
        <v>13228763</v>
      </c>
      <c r="Q19" s="50">
        <f>+Q15+Q17</f>
        <v>1</v>
      </c>
      <c r="R19" s="42"/>
    </row>
    <row r="20" spans="2:18" ht="15.75">
      <c r="B20" s="92" t="s">
        <v>50</v>
      </c>
      <c r="C20" s="48"/>
      <c r="D20" s="49">
        <f>D19</f>
        <v>1378173</v>
      </c>
      <c r="E20" s="93">
        <f>D20+E19</f>
        <v>2495106</v>
      </c>
      <c r="F20" s="93">
        <f aca="true" t="shared" si="4" ref="F20:O20">E20+F19</f>
        <v>3658445</v>
      </c>
      <c r="G20" s="93">
        <f t="shared" si="4"/>
        <v>4934976</v>
      </c>
      <c r="H20" s="93">
        <f t="shared" si="4"/>
        <v>6263196</v>
      </c>
      <c r="I20" s="93">
        <f t="shared" si="4"/>
        <v>7542888</v>
      </c>
      <c r="J20" s="93">
        <f t="shared" si="4"/>
        <v>8642930</v>
      </c>
      <c r="K20" s="93">
        <f t="shared" si="4"/>
        <v>9535689</v>
      </c>
      <c r="L20" s="93">
        <f t="shared" si="4"/>
        <v>10249214</v>
      </c>
      <c r="M20" s="93">
        <f t="shared" si="4"/>
        <v>10788157</v>
      </c>
      <c r="N20" s="93">
        <f t="shared" si="4"/>
        <v>11736712</v>
      </c>
      <c r="O20" s="93">
        <f t="shared" si="4"/>
        <v>13228763</v>
      </c>
      <c r="P20" s="94"/>
      <c r="Q20" s="91"/>
      <c r="R20" s="42"/>
    </row>
    <row r="21" spans="1:18" ht="15.75">
      <c r="A21" s="18"/>
      <c r="B21" s="80"/>
      <c r="C21" s="81"/>
      <c r="D21" s="8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8"/>
      <c r="Q21" s="83"/>
      <c r="R21" s="84"/>
    </row>
    <row r="22" spans="1:18" ht="15.75">
      <c r="A22" s="18"/>
      <c r="B22" s="85" t="s">
        <v>60</v>
      </c>
      <c r="C22" s="86">
        <f aca="true" t="shared" si="5" ref="C22:P22">+C19/C48</f>
        <v>0.18434744308191003</v>
      </c>
      <c r="D22" s="87">
        <f t="shared" si="5"/>
        <v>0.22426733346091207</v>
      </c>
      <c r="E22" s="86">
        <f t="shared" si="5"/>
        <v>0.23561168948777647</v>
      </c>
      <c r="F22" s="86">
        <f t="shared" si="5"/>
        <v>0.23169717419785035</v>
      </c>
      <c r="G22" s="86">
        <f t="shared" si="5"/>
        <v>0.2254294888163906</v>
      </c>
      <c r="H22" s="86">
        <f t="shared" si="5"/>
        <v>0.22696448542874742</v>
      </c>
      <c r="I22" s="86">
        <f t="shared" si="5"/>
        <v>0.2524238522207599</v>
      </c>
      <c r="J22" s="86">
        <f t="shared" si="5"/>
        <v>0.25080513925708653</v>
      </c>
      <c r="K22" s="86">
        <f t="shared" si="5"/>
        <v>0.26081247049365</v>
      </c>
      <c r="L22" s="86">
        <f t="shared" si="5"/>
        <v>0.2676984294325142</v>
      </c>
      <c r="M22" s="86">
        <f t="shared" si="5"/>
        <v>0.2409599177341113</v>
      </c>
      <c r="N22" s="86">
        <f t="shared" si="5"/>
        <v>0.22510197346860153</v>
      </c>
      <c r="O22" s="86">
        <f t="shared" si="5"/>
        <v>0.23275557377115927</v>
      </c>
      <c r="P22" s="89">
        <f t="shared" si="5"/>
        <v>0.23696216421520327</v>
      </c>
      <c r="Q22" s="83"/>
      <c r="R22" s="84"/>
    </row>
    <row r="23" spans="1:18" ht="15.75">
      <c r="A23" s="18"/>
      <c r="B23" s="98" t="s">
        <v>59</v>
      </c>
      <c r="C23" s="86"/>
      <c r="D23" s="99">
        <v>775377</v>
      </c>
      <c r="E23" s="100">
        <v>743322</v>
      </c>
      <c r="F23" s="100">
        <v>1003391</v>
      </c>
      <c r="G23" s="100">
        <v>1173288</v>
      </c>
      <c r="H23" s="100">
        <v>1489268.2</v>
      </c>
      <c r="I23" s="100">
        <v>1342546.7</v>
      </c>
      <c r="J23" s="100">
        <v>1651702</v>
      </c>
      <c r="K23" s="100">
        <v>500200</v>
      </c>
      <c r="L23" s="100">
        <v>1696533</v>
      </c>
      <c r="M23" s="100">
        <v>743832.3</v>
      </c>
      <c r="N23" s="100">
        <v>685880.5</v>
      </c>
      <c r="O23" s="100">
        <v>1157235.8</v>
      </c>
      <c r="P23" s="101">
        <f>SUM(D23:O23)</f>
        <v>12962576.500000002</v>
      </c>
      <c r="Q23" s="83"/>
      <c r="R23" s="84"/>
    </row>
    <row r="24" spans="2:18" ht="15.75" thickBot="1">
      <c r="B24" s="30"/>
      <c r="C24" s="30"/>
      <c r="D24" s="5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52"/>
      <c r="Q24" s="53"/>
      <c r="R24" s="54"/>
    </row>
    <row r="25" spans="2:3" ht="15.75" thickTop="1">
      <c r="B25" s="2">
        <f ca="1">NOW()</f>
        <v>40948.65149502315</v>
      </c>
      <c r="C25" s="1" t="s">
        <v>58</v>
      </c>
    </row>
    <row r="26" spans="1:18" ht="15">
      <c r="A26" s="15" t="s">
        <v>30</v>
      </c>
      <c r="B26" s="15"/>
      <c r="Q26" s="15"/>
      <c r="R26" s="15" t="s">
        <v>30</v>
      </c>
    </row>
    <row r="28" spans="1:18" ht="15.75">
      <c r="A28" s="23" t="s">
        <v>46</v>
      </c>
      <c r="D28" s="16" t="s">
        <v>51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Q28" s="55"/>
      <c r="R28" s="15" t="s">
        <v>30</v>
      </c>
    </row>
    <row r="29" spans="4:15" ht="15">
      <c r="D29" s="24" t="s">
        <v>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2:17" ht="16.5" thickBot="1">
      <c r="B30" s="26"/>
      <c r="C30" s="26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v>1997</v>
      </c>
      <c r="Q30" s="26"/>
    </row>
    <row r="31" spans="2:17" ht="16.5" thickBot="1" thickTop="1">
      <c r="B31" s="30"/>
      <c r="C31" s="31">
        <v>1996</v>
      </c>
      <c r="D31" s="32" t="s">
        <v>3</v>
      </c>
      <c r="E31" s="33" t="s">
        <v>4</v>
      </c>
      <c r="F31" s="33" t="s">
        <v>5</v>
      </c>
      <c r="G31" s="33" t="s">
        <v>6</v>
      </c>
      <c r="H31" s="33" t="s">
        <v>7</v>
      </c>
      <c r="I31" s="33" t="s">
        <v>8</v>
      </c>
      <c r="J31" s="33" t="s">
        <v>9</v>
      </c>
      <c r="K31" s="33" t="s">
        <v>10</v>
      </c>
      <c r="L31" s="34" t="s">
        <v>11</v>
      </c>
      <c r="M31" s="33" t="s">
        <v>12</v>
      </c>
      <c r="N31" s="33" t="s">
        <v>13</v>
      </c>
      <c r="O31" s="33" t="s">
        <v>14</v>
      </c>
      <c r="P31" s="35" t="s">
        <v>15</v>
      </c>
      <c r="Q31" s="17" t="s">
        <v>16</v>
      </c>
    </row>
    <row r="32" spans="2:17" ht="15.75" thickTop="1">
      <c r="B32" s="36"/>
      <c r="C32" s="36"/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95"/>
      <c r="Q32" s="39"/>
    </row>
    <row r="33" spans="2:18" ht="15">
      <c r="B33" s="36" t="s">
        <v>31</v>
      </c>
      <c r="C33" s="19">
        <f>+'1996'!P32</f>
        <v>8654036</v>
      </c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8">
        <f aca="true" t="shared" si="6" ref="P33:P45">SUM(D33:O33)</f>
        <v>0</v>
      </c>
      <c r="Q33" s="5">
        <f aca="true" t="shared" si="7" ref="Q33:Q43">+P33/$P$48</f>
        <v>0</v>
      </c>
      <c r="R33" s="42"/>
    </row>
    <row r="34" spans="2:18" ht="15">
      <c r="B34" s="36" t="s">
        <v>17</v>
      </c>
      <c r="C34" s="19">
        <f>+'1996'!P33</f>
        <v>4549106</v>
      </c>
      <c r="D34" s="57">
        <v>654703</v>
      </c>
      <c r="E34" s="56">
        <v>506905</v>
      </c>
      <c r="F34" s="56">
        <v>493176</v>
      </c>
      <c r="G34" s="56">
        <v>509838</v>
      </c>
      <c r="H34" s="56">
        <v>598739</v>
      </c>
      <c r="I34" s="56">
        <v>512716</v>
      </c>
      <c r="J34" s="56">
        <v>482890</v>
      </c>
      <c r="K34" s="56">
        <v>425649</v>
      </c>
      <c r="L34" s="56">
        <v>289154</v>
      </c>
      <c r="M34" s="56">
        <v>302016</v>
      </c>
      <c r="N34" s="56">
        <v>626360</v>
      </c>
      <c r="O34" s="56">
        <v>777403</v>
      </c>
      <c r="P34" s="8">
        <f t="shared" si="6"/>
        <v>6179549</v>
      </c>
      <c r="Q34" s="5">
        <f t="shared" si="7"/>
        <v>0.11069208095374415</v>
      </c>
      <c r="R34" s="42"/>
    </row>
    <row r="35" spans="2:18" ht="15">
      <c r="B35" s="36" t="s">
        <v>18</v>
      </c>
      <c r="C35" s="19">
        <f>+'1996'!P34</f>
        <v>4048635</v>
      </c>
      <c r="D35" s="57">
        <v>477082</v>
      </c>
      <c r="E35" s="56">
        <v>454029</v>
      </c>
      <c r="F35" s="56">
        <v>442370</v>
      </c>
      <c r="G35" s="56">
        <v>397931</v>
      </c>
      <c r="H35" s="56">
        <v>395550</v>
      </c>
      <c r="I35" s="56">
        <v>371266</v>
      </c>
      <c r="J35" s="56">
        <v>250412</v>
      </c>
      <c r="K35" s="56">
        <v>203790</v>
      </c>
      <c r="L35" s="56">
        <v>148614</v>
      </c>
      <c r="M35" s="56">
        <v>60419</v>
      </c>
      <c r="N35" s="56">
        <v>94924</v>
      </c>
      <c r="O35" s="56">
        <v>464990</v>
      </c>
      <c r="P35" s="8">
        <f t="shared" si="6"/>
        <v>3761377</v>
      </c>
      <c r="Q35" s="5">
        <f t="shared" si="7"/>
        <v>0.06737621910297197</v>
      </c>
      <c r="R35" s="42"/>
    </row>
    <row r="36" spans="2:17" ht="15">
      <c r="B36" s="36" t="s">
        <v>19</v>
      </c>
      <c r="C36" s="19">
        <f>+'1996'!P35</f>
        <v>2226726</v>
      </c>
      <c r="D36" s="57">
        <v>209782</v>
      </c>
      <c r="E36" s="56">
        <v>199723</v>
      </c>
      <c r="F36" s="56">
        <v>152336</v>
      </c>
      <c r="G36" s="56">
        <v>161010</v>
      </c>
      <c r="H36" s="56">
        <v>165910</v>
      </c>
      <c r="I36" s="56">
        <v>155130</v>
      </c>
      <c r="J36" s="56">
        <v>102160</v>
      </c>
      <c r="K36" s="56">
        <v>106775</v>
      </c>
      <c r="L36" s="56">
        <v>102292</v>
      </c>
      <c r="M36" s="56">
        <v>53665</v>
      </c>
      <c r="N36" s="56">
        <v>113426</v>
      </c>
      <c r="O36" s="56">
        <v>173227</v>
      </c>
      <c r="P36" s="8">
        <f t="shared" si="6"/>
        <v>1695436</v>
      </c>
      <c r="Q36" s="5">
        <f t="shared" si="7"/>
        <v>0.030369746880216042</v>
      </c>
    </row>
    <row r="37" spans="2:18" ht="15">
      <c r="B37" s="36" t="s">
        <v>20</v>
      </c>
      <c r="C37" s="19">
        <f>+'1996'!P36</f>
        <v>636961</v>
      </c>
      <c r="D37" s="57">
        <v>299007</v>
      </c>
      <c r="E37" s="56">
        <v>198994</v>
      </c>
      <c r="F37" s="56">
        <v>226940</v>
      </c>
      <c r="G37" s="56">
        <v>309300</v>
      </c>
      <c r="H37" s="56">
        <v>268062</v>
      </c>
      <c r="I37" s="56">
        <v>249596</v>
      </c>
      <c r="J37" s="56">
        <v>190078</v>
      </c>
      <c r="K37" s="56">
        <v>123713</v>
      </c>
      <c r="L37" s="56">
        <v>135133</v>
      </c>
      <c r="M37" s="56">
        <v>101819</v>
      </c>
      <c r="N37" s="56">
        <v>222963</v>
      </c>
      <c r="O37" s="56">
        <v>339914</v>
      </c>
      <c r="P37" s="8">
        <f t="shared" si="6"/>
        <v>2665519</v>
      </c>
      <c r="Q37" s="5">
        <f t="shared" si="7"/>
        <v>0.04774650139221214</v>
      </c>
      <c r="R37" s="42"/>
    </row>
    <row r="38" spans="2:17" ht="15">
      <c r="B38" s="36" t="s">
        <v>21</v>
      </c>
      <c r="C38" s="19">
        <f>+'1996'!P37</f>
        <v>3282152</v>
      </c>
      <c r="D38" s="57">
        <v>1271839</v>
      </c>
      <c r="E38" s="56">
        <v>1050521</v>
      </c>
      <c r="F38" s="56">
        <v>1056724</v>
      </c>
      <c r="G38" s="56">
        <v>1376740</v>
      </c>
      <c r="H38" s="56">
        <v>1445008</v>
      </c>
      <c r="I38" s="56">
        <v>1088492</v>
      </c>
      <c r="J38" s="56">
        <v>928775</v>
      </c>
      <c r="K38" s="56">
        <v>801706</v>
      </c>
      <c r="L38" s="56">
        <v>584988</v>
      </c>
      <c r="M38" s="56">
        <v>680565</v>
      </c>
      <c r="N38" s="56">
        <v>1413298</v>
      </c>
      <c r="O38" s="56">
        <v>1543159</v>
      </c>
      <c r="P38" s="8">
        <f t="shared" si="6"/>
        <v>13241815</v>
      </c>
      <c r="Q38" s="5">
        <f t="shared" si="7"/>
        <v>0.23719596008616545</v>
      </c>
    </row>
    <row r="39" spans="2:17" ht="15">
      <c r="B39" s="36" t="s">
        <v>22</v>
      </c>
      <c r="C39" s="19">
        <f>+'1996'!P38</f>
        <v>1104580</v>
      </c>
      <c r="D39" s="57">
        <v>194608</v>
      </c>
      <c r="E39" s="56">
        <v>196304</v>
      </c>
      <c r="F39" s="56">
        <v>152460</v>
      </c>
      <c r="G39" s="56">
        <v>159157</v>
      </c>
      <c r="H39" s="56">
        <v>74545</v>
      </c>
      <c r="I39" s="56">
        <v>140446</v>
      </c>
      <c r="J39" s="56">
        <v>156281</v>
      </c>
      <c r="K39" s="56">
        <v>99412</v>
      </c>
      <c r="L39" s="56">
        <v>139073</v>
      </c>
      <c r="M39" s="56">
        <v>121546</v>
      </c>
      <c r="N39" s="56">
        <v>44677</v>
      </c>
      <c r="O39" s="56">
        <v>118461</v>
      </c>
      <c r="P39" s="8">
        <f t="shared" si="6"/>
        <v>1596970</v>
      </c>
      <c r="Q39" s="5">
        <f t="shared" si="7"/>
        <v>0.02860596016322563</v>
      </c>
    </row>
    <row r="40" spans="2:17" ht="15">
      <c r="B40" s="36" t="s">
        <v>23</v>
      </c>
      <c r="C40" s="19">
        <f>+'1996'!P39</f>
        <v>4585741</v>
      </c>
      <c r="D40" s="57">
        <v>558569</v>
      </c>
      <c r="E40" s="56">
        <v>398683</v>
      </c>
      <c r="F40" s="56">
        <v>383639</v>
      </c>
      <c r="G40" s="56">
        <v>517823</v>
      </c>
      <c r="H40" s="56">
        <v>443658</v>
      </c>
      <c r="I40" s="56">
        <v>450013</v>
      </c>
      <c r="J40" s="56">
        <v>409986</v>
      </c>
      <c r="K40" s="56">
        <v>353648</v>
      </c>
      <c r="L40" s="56">
        <v>361717</v>
      </c>
      <c r="M40" s="56">
        <v>185942</v>
      </c>
      <c r="N40" s="56">
        <v>396396</v>
      </c>
      <c r="O40" s="56">
        <v>478834</v>
      </c>
      <c r="P40" s="8">
        <f t="shared" si="6"/>
        <v>4938908</v>
      </c>
      <c r="Q40" s="5">
        <f t="shared" si="7"/>
        <v>0.08846891644666861</v>
      </c>
    </row>
    <row r="41" spans="2:18" ht="15">
      <c r="B41" s="36" t="s">
        <v>24</v>
      </c>
      <c r="C41" s="19">
        <f>+'1996'!P40</f>
        <v>3949564</v>
      </c>
      <c r="D41" s="57">
        <v>374489</v>
      </c>
      <c r="E41" s="56">
        <v>495902</v>
      </c>
      <c r="F41" s="56">
        <v>375071</v>
      </c>
      <c r="G41" s="56">
        <v>268736</v>
      </c>
      <c r="H41" s="56">
        <v>240231</v>
      </c>
      <c r="I41" s="56">
        <v>304881</v>
      </c>
      <c r="J41" s="56">
        <v>414250</v>
      </c>
      <c r="K41" s="56">
        <v>303338</v>
      </c>
      <c r="L41" s="56">
        <v>376261</v>
      </c>
      <c r="M41" s="56">
        <v>387319</v>
      </c>
      <c r="N41" s="56">
        <v>230160</v>
      </c>
      <c r="O41" s="56">
        <v>290074</v>
      </c>
      <c r="P41" s="8">
        <f t="shared" si="6"/>
        <v>4060712</v>
      </c>
      <c r="Q41" s="5">
        <f t="shared" si="7"/>
        <v>0.07273810134588143</v>
      </c>
      <c r="R41" s="42"/>
    </row>
    <row r="42" spans="2:18" ht="15">
      <c r="B42" s="36" t="s">
        <v>25</v>
      </c>
      <c r="C42" s="19">
        <f>+'1996'!P41</f>
        <v>3872260</v>
      </c>
      <c r="D42" s="57">
        <v>695953</v>
      </c>
      <c r="E42" s="56">
        <v>447291</v>
      </c>
      <c r="F42" s="56">
        <v>541835</v>
      </c>
      <c r="G42" s="56">
        <v>471610</v>
      </c>
      <c r="H42" s="56">
        <v>570928</v>
      </c>
      <c r="I42" s="56">
        <v>521053</v>
      </c>
      <c r="J42" s="56">
        <v>404474.5</v>
      </c>
      <c r="K42" s="56">
        <v>186516</v>
      </c>
      <c r="L42" s="56">
        <v>110595</v>
      </c>
      <c r="M42" s="56">
        <v>110357</v>
      </c>
      <c r="N42" s="56">
        <v>442159.2</v>
      </c>
      <c r="O42" s="56">
        <v>644476.1</v>
      </c>
      <c r="P42" s="8">
        <f>SUM(D42:O42)</f>
        <v>5147247.8</v>
      </c>
      <c r="Q42" s="5">
        <f t="shared" si="7"/>
        <v>0.09220083377712215</v>
      </c>
      <c r="R42" s="42"/>
    </row>
    <row r="43" spans="2:18" ht="15.75">
      <c r="B43" s="43" t="s">
        <v>26</v>
      </c>
      <c r="C43" s="9">
        <f>SUM(C33:C42)</f>
        <v>36909761</v>
      </c>
      <c r="D43" s="10">
        <f aca="true" t="shared" si="8" ref="D43:P43">SUM(D33:D42)</f>
        <v>4736032</v>
      </c>
      <c r="E43" s="9">
        <f t="shared" si="8"/>
        <v>3948352</v>
      </c>
      <c r="F43" s="9">
        <f t="shared" si="8"/>
        <v>3824551</v>
      </c>
      <c r="G43" s="9">
        <f t="shared" si="8"/>
        <v>4172145</v>
      </c>
      <c r="H43" s="9">
        <f t="shared" si="8"/>
        <v>4202631</v>
      </c>
      <c r="I43" s="9">
        <f t="shared" si="8"/>
        <v>3793593</v>
      </c>
      <c r="J43" s="9">
        <f t="shared" si="8"/>
        <v>3339306.5</v>
      </c>
      <c r="K43" s="9">
        <f t="shared" si="8"/>
        <v>2604547</v>
      </c>
      <c r="L43" s="9">
        <f t="shared" si="8"/>
        <v>2247827</v>
      </c>
      <c r="M43" s="9">
        <f t="shared" si="8"/>
        <v>2003648</v>
      </c>
      <c r="N43" s="9">
        <f t="shared" si="8"/>
        <v>3584363.2</v>
      </c>
      <c r="O43" s="9">
        <f t="shared" si="8"/>
        <v>4830538.1</v>
      </c>
      <c r="P43" s="8">
        <f t="shared" si="8"/>
        <v>43287533.8</v>
      </c>
      <c r="Q43" s="5">
        <f t="shared" si="7"/>
        <v>0.7753943201482075</v>
      </c>
      <c r="R43" s="42"/>
    </row>
    <row r="44" spans="2:18" ht="15">
      <c r="B44" s="36"/>
      <c r="C44" s="41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"/>
      <c r="Q44" s="44"/>
      <c r="R44" s="42"/>
    </row>
    <row r="45" spans="2:18" ht="15">
      <c r="B45" s="36" t="s">
        <v>27</v>
      </c>
      <c r="C45" s="19">
        <f>+'1996'!P44</f>
        <v>3569895</v>
      </c>
      <c r="D45" s="40">
        <v>386961</v>
      </c>
      <c r="E45" s="41">
        <v>183761</v>
      </c>
      <c r="F45" s="41">
        <v>262928</v>
      </c>
      <c r="G45" s="41">
        <v>372420</v>
      </c>
      <c r="H45" s="41">
        <v>420555</v>
      </c>
      <c r="I45" s="41">
        <v>334262</v>
      </c>
      <c r="J45" s="41">
        <v>272715</v>
      </c>
      <c r="K45" s="41">
        <v>243791</v>
      </c>
      <c r="L45" s="41">
        <v>130237</v>
      </c>
      <c r="M45" s="41">
        <v>78414</v>
      </c>
      <c r="N45" s="41">
        <v>216495</v>
      </c>
      <c r="O45" s="41">
        <v>541206</v>
      </c>
      <c r="P45" s="8">
        <f t="shared" si="6"/>
        <v>3443745</v>
      </c>
      <c r="Q45" s="5">
        <f>+P45/$P$48</f>
        <v>0.06168658915465378</v>
      </c>
      <c r="R45" s="42"/>
    </row>
    <row r="46" spans="2:18" ht="15">
      <c r="B46" s="36" t="s">
        <v>57</v>
      </c>
      <c r="C46" s="19">
        <f>+'1996'!P45</f>
        <v>8653537</v>
      </c>
      <c r="D46" s="40">
        <v>1022231</v>
      </c>
      <c r="E46" s="41">
        <v>608454</v>
      </c>
      <c r="F46" s="41">
        <v>933467</v>
      </c>
      <c r="G46" s="41">
        <v>1118097</v>
      </c>
      <c r="H46" s="41">
        <v>1228919</v>
      </c>
      <c r="I46" s="41">
        <v>941761</v>
      </c>
      <c r="J46" s="41">
        <v>774021</v>
      </c>
      <c r="K46" s="41">
        <v>574654</v>
      </c>
      <c r="L46" s="41">
        <v>287342</v>
      </c>
      <c r="M46" s="41">
        <v>154588</v>
      </c>
      <c r="N46" s="41">
        <v>413032</v>
      </c>
      <c r="O46" s="41">
        <v>1038633</v>
      </c>
      <c r="P46" s="8">
        <f>SUM(D46:O46)</f>
        <v>9095199</v>
      </c>
      <c r="Q46" s="5">
        <f>+P46/$P$48</f>
        <v>0.1629190906971387</v>
      </c>
      <c r="R46" s="42"/>
    </row>
    <row r="47" spans="2:18" ht="15">
      <c r="B47" s="13"/>
      <c r="C47" s="45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3"/>
      <c r="Q47" s="14"/>
      <c r="R47" s="42"/>
    </row>
    <row r="48" spans="2:18" ht="15.75">
      <c r="B48" s="47" t="s">
        <v>28</v>
      </c>
      <c r="C48" s="58">
        <f>+C43+C45+C46</f>
        <v>49133193</v>
      </c>
      <c r="D48" s="59">
        <f aca="true" t="shared" si="9" ref="D48:P48">+D43+D45+D46</f>
        <v>6145224</v>
      </c>
      <c r="E48" s="58">
        <f t="shared" si="9"/>
        <v>4740567</v>
      </c>
      <c r="F48" s="58">
        <f t="shared" si="9"/>
        <v>5020946</v>
      </c>
      <c r="G48" s="58">
        <f t="shared" si="9"/>
        <v>5662662</v>
      </c>
      <c r="H48" s="58">
        <f t="shared" si="9"/>
        <v>5852105</v>
      </c>
      <c r="I48" s="58">
        <f t="shared" si="9"/>
        <v>5069616</v>
      </c>
      <c r="J48" s="58">
        <f t="shared" si="9"/>
        <v>4386042.5</v>
      </c>
      <c r="K48" s="58">
        <f t="shared" si="9"/>
        <v>3422992</v>
      </c>
      <c r="L48" s="58">
        <f t="shared" si="9"/>
        <v>2665406</v>
      </c>
      <c r="M48" s="58">
        <f t="shared" si="9"/>
        <v>2236650</v>
      </c>
      <c r="N48" s="58">
        <f t="shared" si="9"/>
        <v>4213890.2</v>
      </c>
      <c r="O48" s="58">
        <f t="shared" si="9"/>
        <v>6410377.1</v>
      </c>
      <c r="P48" s="59">
        <f t="shared" si="9"/>
        <v>55826477.8</v>
      </c>
      <c r="Q48" s="50">
        <f>+Q43+Q45+Q46</f>
        <v>1</v>
      </c>
      <c r="R48" s="42"/>
    </row>
    <row r="49" spans="2:18" ht="15.75" thickBot="1">
      <c r="B49" s="30"/>
      <c r="C49" s="30"/>
      <c r="D49" s="5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52"/>
      <c r="Q49" s="53"/>
      <c r="R49" s="54"/>
    </row>
    <row r="50" spans="2:3" ht="15.75" thickTop="1">
      <c r="B50" s="2">
        <f ca="1">NOW()</f>
        <v>40948.65149502315</v>
      </c>
      <c r="C50" s="1" t="s">
        <v>58</v>
      </c>
    </row>
    <row r="51" spans="1:18" ht="15">
      <c r="A51" s="15" t="s">
        <v>30</v>
      </c>
      <c r="R51" s="15" t="s">
        <v>30</v>
      </c>
    </row>
    <row r="54" spans="1:17" ht="15.75">
      <c r="A54" s="12" t="s">
        <v>46</v>
      </c>
      <c r="D54" s="16" t="s">
        <v>41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Q54" s="55"/>
    </row>
    <row r="55" spans="4:15" ht="15">
      <c r="D55" s="24" t="s">
        <v>2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7" ht="16.5" thickBot="1">
      <c r="B56" s="26"/>
      <c r="C56" s="26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>
        <v>1997</v>
      </c>
      <c r="Q56" s="26"/>
    </row>
    <row r="57" spans="2:17" ht="16.5" thickBot="1" thickTop="1">
      <c r="B57" s="30"/>
      <c r="C57" s="31">
        <v>1996</v>
      </c>
      <c r="D57" s="32" t="s">
        <v>3</v>
      </c>
      <c r="E57" s="33" t="s">
        <v>4</v>
      </c>
      <c r="F57" s="33" t="s">
        <v>5</v>
      </c>
      <c r="G57" s="33" t="s">
        <v>6</v>
      </c>
      <c r="H57" s="33" t="s">
        <v>7</v>
      </c>
      <c r="I57" s="33" t="s">
        <v>8</v>
      </c>
      <c r="J57" s="33" t="s">
        <v>9</v>
      </c>
      <c r="K57" s="33" t="s">
        <v>10</v>
      </c>
      <c r="L57" s="34" t="s">
        <v>11</v>
      </c>
      <c r="M57" s="33" t="s">
        <v>12</v>
      </c>
      <c r="N57" s="33" t="s">
        <v>13</v>
      </c>
      <c r="O57" s="33" t="s">
        <v>14</v>
      </c>
      <c r="P57" s="35" t="s">
        <v>15</v>
      </c>
      <c r="Q57" s="17" t="s">
        <v>16</v>
      </c>
    </row>
    <row r="58" spans="2:17" ht="15.75" thickTop="1">
      <c r="B58" s="13"/>
      <c r="C58" s="13"/>
      <c r="D58" s="6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60"/>
      <c r="Q58" s="61"/>
    </row>
    <row r="59" spans="2:17" ht="15">
      <c r="B59" s="62" t="s">
        <v>42</v>
      </c>
      <c r="C59" s="36"/>
      <c r="D59" s="37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"/>
      <c r="Q59" s="5"/>
    </row>
    <row r="60" spans="2:17" ht="15">
      <c r="B60" s="36" t="s">
        <v>33</v>
      </c>
      <c r="C60" s="36"/>
      <c r="D60" s="63">
        <v>324403.6</v>
      </c>
      <c r="E60" s="64">
        <v>412389.1</v>
      </c>
      <c r="F60" s="64">
        <v>576548.1</v>
      </c>
      <c r="G60" s="64"/>
      <c r="H60" s="64"/>
      <c r="I60" s="64"/>
      <c r="J60" s="64"/>
      <c r="K60" s="64"/>
      <c r="L60" s="64"/>
      <c r="M60" s="64"/>
      <c r="N60" s="64"/>
      <c r="O60" s="64"/>
      <c r="P60" s="4">
        <f aca="true" t="shared" si="10" ref="P60:P73">SUM(D60:O60)</f>
        <v>1313340.7999999998</v>
      </c>
      <c r="Q60" s="5">
        <f>+P60/$P$84</f>
        <v>0.5892599724990644</v>
      </c>
    </row>
    <row r="61" spans="2:17" ht="15">
      <c r="B61" s="62" t="s">
        <v>34</v>
      </c>
      <c r="C61" s="36"/>
      <c r="D61" s="63">
        <v>451403.17</v>
      </c>
      <c r="E61" s="64">
        <v>565404.5</v>
      </c>
      <c r="F61" s="64">
        <v>817750.77</v>
      </c>
      <c r="G61" s="64"/>
      <c r="H61" s="64"/>
      <c r="I61" s="64"/>
      <c r="J61" s="64"/>
      <c r="K61" s="64"/>
      <c r="L61" s="64"/>
      <c r="M61" s="64"/>
      <c r="N61" s="64"/>
      <c r="O61" s="64"/>
      <c r="P61" s="4">
        <f t="shared" si="10"/>
        <v>1834558.44</v>
      </c>
      <c r="Q61" s="5">
        <f>+P61/$P$85</f>
        <v>0.5690974763559784</v>
      </c>
    </row>
    <row r="62" spans="2:17" ht="15">
      <c r="B62" s="36"/>
      <c r="C62" s="36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4"/>
      <c r="Q62" s="5"/>
    </row>
    <row r="63" spans="2:17" ht="15">
      <c r="B63" s="36" t="s">
        <v>43</v>
      </c>
      <c r="C63" s="36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5"/>
    </row>
    <row r="64" spans="2:17" ht="15">
      <c r="B64" s="36" t="s">
        <v>33</v>
      </c>
      <c r="C64" s="36"/>
      <c r="D64" s="63">
        <v>43373</v>
      </c>
      <c r="E64" s="64">
        <v>8393.3</v>
      </c>
      <c r="F64" s="64">
        <v>82116.8</v>
      </c>
      <c r="G64" s="64"/>
      <c r="H64" s="64"/>
      <c r="I64" s="64"/>
      <c r="J64" s="64"/>
      <c r="K64" s="64"/>
      <c r="L64" s="64"/>
      <c r="M64" s="64"/>
      <c r="N64" s="64"/>
      <c r="O64" s="64"/>
      <c r="P64" s="4">
        <f t="shared" si="10"/>
        <v>133883.1</v>
      </c>
      <c r="Q64" s="5">
        <f>+P64/$P$84</f>
        <v>0.0600696725663967</v>
      </c>
    </row>
    <row r="65" spans="2:17" ht="15">
      <c r="B65" s="62" t="s">
        <v>34</v>
      </c>
      <c r="C65" s="36"/>
      <c r="D65" s="63">
        <v>57225.82</v>
      </c>
      <c r="E65" s="64">
        <v>12195.28</v>
      </c>
      <c r="F65" s="64">
        <v>124984.12</v>
      </c>
      <c r="G65" s="64"/>
      <c r="H65" s="64"/>
      <c r="I65" s="64"/>
      <c r="J65" s="64"/>
      <c r="K65" s="64"/>
      <c r="L65" s="64"/>
      <c r="M65" s="64"/>
      <c r="N65" s="64"/>
      <c r="O65" s="64"/>
      <c r="P65" s="4">
        <f t="shared" si="10"/>
        <v>194405.22</v>
      </c>
      <c r="Q65" s="5">
        <f>+P65/$P$85</f>
        <v>0.06030634820901578</v>
      </c>
    </row>
    <row r="66" spans="2:17" ht="15">
      <c r="B66" s="36"/>
      <c r="C66" s="36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4"/>
      <c r="Q66" s="5"/>
    </row>
    <row r="67" spans="2:17" ht="15">
      <c r="B67" s="62" t="s">
        <v>32</v>
      </c>
      <c r="C67" s="36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4"/>
      <c r="Q67" s="5"/>
    </row>
    <row r="68" spans="2:17" ht="15">
      <c r="B68" s="36" t="s">
        <v>33</v>
      </c>
      <c r="C68" s="36"/>
      <c r="D68" s="63">
        <v>3122.5</v>
      </c>
      <c r="E68" s="64">
        <v>19182.1</v>
      </c>
      <c r="F68" s="64">
        <v>69235.4</v>
      </c>
      <c r="G68" s="64"/>
      <c r="H68" s="64"/>
      <c r="I68" s="64"/>
      <c r="J68" s="64"/>
      <c r="K68" s="64"/>
      <c r="L68" s="64"/>
      <c r="M68" s="64"/>
      <c r="N68" s="64"/>
      <c r="O68" s="64"/>
      <c r="P68" s="4">
        <f t="shared" si="10"/>
        <v>91540</v>
      </c>
      <c r="Q68" s="5">
        <f>+P68/$P$84</f>
        <v>0.041071485697059255</v>
      </c>
    </row>
    <row r="69" spans="2:17" ht="15">
      <c r="B69" s="62" t="s">
        <v>34</v>
      </c>
      <c r="C69" s="36"/>
      <c r="D69" s="63">
        <v>5143.48</v>
      </c>
      <c r="E69" s="64">
        <v>28303.52</v>
      </c>
      <c r="F69" s="64">
        <v>112109.65</v>
      </c>
      <c r="G69" s="64"/>
      <c r="H69" s="64"/>
      <c r="I69" s="64"/>
      <c r="J69" s="64"/>
      <c r="K69" s="64"/>
      <c r="L69" s="64"/>
      <c r="M69" s="64"/>
      <c r="N69" s="64"/>
      <c r="O69" s="64"/>
      <c r="P69" s="4">
        <f t="shared" si="10"/>
        <v>145556.65</v>
      </c>
      <c r="Q69" s="5">
        <f>+P69/$P$85</f>
        <v>0.04515305720205371</v>
      </c>
    </row>
    <row r="70" spans="2:17" ht="15">
      <c r="B70" s="36"/>
      <c r="C70" s="36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4"/>
      <c r="Q70" s="5"/>
    </row>
    <row r="71" spans="2:17" ht="15">
      <c r="B71" s="62" t="s">
        <v>44</v>
      </c>
      <c r="C71" s="36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4"/>
      <c r="Q71" s="5"/>
    </row>
    <row r="72" spans="2:17" ht="15">
      <c r="B72" s="36" t="s">
        <v>33</v>
      </c>
      <c r="C72" s="36"/>
      <c r="D72" s="63">
        <v>50341</v>
      </c>
      <c r="E72" s="64">
        <v>1103</v>
      </c>
      <c r="F72" s="64">
        <v>2200</v>
      </c>
      <c r="G72" s="64"/>
      <c r="H72" s="64"/>
      <c r="I72" s="64"/>
      <c r="J72" s="64"/>
      <c r="K72" s="64"/>
      <c r="L72" s="64"/>
      <c r="M72" s="64"/>
      <c r="N72" s="64"/>
      <c r="O72" s="64"/>
      <c r="P72" s="4">
        <f t="shared" si="10"/>
        <v>53644</v>
      </c>
      <c r="Q72" s="5">
        <f>+P72/$P$84</f>
        <v>0.024068590547662732</v>
      </c>
    </row>
    <row r="73" spans="2:17" ht="15">
      <c r="B73" s="62" t="s">
        <v>34</v>
      </c>
      <c r="C73" s="36"/>
      <c r="D73" s="63">
        <v>80788.37</v>
      </c>
      <c r="E73" s="64">
        <v>1844</v>
      </c>
      <c r="F73" s="64">
        <v>5536.11</v>
      </c>
      <c r="G73" s="64"/>
      <c r="H73" s="64"/>
      <c r="I73" s="64"/>
      <c r="J73" s="64"/>
      <c r="K73" s="64"/>
      <c r="L73" s="64"/>
      <c r="M73" s="64"/>
      <c r="N73" s="64"/>
      <c r="O73" s="64"/>
      <c r="P73" s="4">
        <f t="shared" si="10"/>
        <v>88168.48</v>
      </c>
      <c r="Q73" s="5">
        <f>+P73/$P$85</f>
        <v>0.027350701055967753</v>
      </c>
    </row>
    <row r="74" spans="2:17" ht="15">
      <c r="B74" s="36"/>
      <c r="C74" s="36"/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4"/>
      <c r="Q74" s="5"/>
    </row>
    <row r="75" spans="2:17" ht="15.75">
      <c r="B75" s="66" t="s">
        <v>28</v>
      </c>
      <c r="C75" s="36"/>
      <c r="D75" s="6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4"/>
      <c r="Q75" s="5"/>
    </row>
    <row r="76" spans="2:17" ht="15.75">
      <c r="B76" s="67" t="s">
        <v>33</v>
      </c>
      <c r="C76" s="67"/>
      <c r="D76" s="68">
        <f>+D60+D64+D68+D72</f>
        <v>421240.1</v>
      </c>
      <c r="E76" s="69">
        <f aca="true" t="shared" si="11" ref="E76:O77">+E60+E64+E68+E72</f>
        <v>441067.49999999994</v>
      </c>
      <c r="F76" s="69">
        <f t="shared" si="11"/>
        <v>730100.3</v>
      </c>
      <c r="G76" s="69">
        <f t="shared" si="11"/>
        <v>0</v>
      </c>
      <c r="H76" s="69">
        <f t="shared" si="11"/>
        <v>0</v>
      </c>
      <c r="I76" s="69">
        <f t="shared" si="11"/>
        <v>0</v>
      </c>
      <c r="J76" s="69">
        <f t="shared" si="11"/>
        <v>0</v>
      </c>
      <c r="K76" s="69">
        <f t="shared" si="11"/>
        <v>0</v>
      </c>
      <c r="L76" s="69">
        <f t="shared" si="11"/>
        <v>0</v>
      </c>
      <c r="M76" s="69">
        <f t="shared" si="11"/>
        <v>0</v>
      </c>
      <c r="N76" s="69">
        <f t="shared" si="11"/>
        <v>0</v>
      </c>
      <c r="O76" s="69">
        <f t="shared" si="11"/>
        <v>0</v>
      </c>
      <c r="P76" s="70">
        <f>SUM(D76:O76)</f>
        <v>1592407.9</v>
      </c>
      <c r="Q76" s="71">
        <f>+Q60+Q64+Q68+Q72</f>
        <v>0.714469721310183</v>
      </c>
    </row>
    <row r="77" spans="2:17" ht="15.75">
      <c r="B77" s="43" t="s">
        <v>34</v>
      </c>
      <c r="C77" s="67"/>
      <c r="D77" s="68">
        <f>+D61+D65+D69+D73</f>
        <v>594560.84</v>
      </c>
      <c r="E77" s="69">
        <f t="shared" si="11"/>
        <v>607747.3</v>
      </c>
      <c r="F77" s="69">
        <f t="shared" si="11"/>
        <v>1060380.6500000001</v>
      </c>
      <c r="G77" s="69">
        <f t="shared" si="11"/>
        <v>0</v>
      </c>
      <c r="H77" s="69">
        <f t="shared" si="11"/>
        <v>0</v>
      </c>
      <c r="I77" s="69">
        <f t="shared" si="11"/>
        <v>0</v>
      </c>
      <c r="J77" s="69">
        <f t="shared" si="11"/>
        <v>0</v>
      </c>
      <c r="K77" s="69">
        <f t="shared" si="11"/>
        <v>0</v>
      </c>
      <c r="L77" s="69">
        <f t="shared" si="11"/>
        <v>0</v>
      </c>
      <c r="M77" s="69">
        <f t="shared" si="11"/>
        <v>0</v>
      </c>
      <c r="N77" s="69">
        <f t="shared" si="11"/>
        <v>0</v>
      </c>
      <c r="O77" s="69">
        <f t="shared" si="11"/>
        <v>0</v>
      </c>
      <c r="P77" s="70">
        <f>SUM(D77:O77)</f>
        <v>2262688.79</v>
      </c>
      <c r="Q77" s="71">
        <f>+Q61+Q65+Q69+Q73</f>
        <v>0.7019075828230157</v>
      </c>
    </row>
    <row r="78" spans="2:17" ht="15.75">
      <c r="B78" s="74"/>
      <c r="C78" s="75"/>
      <c r="D78" s="76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8"/>
      <c r="Q78" s="79"/>
    </row>
    <row r="79" spans="2:17" ht="15">
      <c r="B79" s="65" t="s">
        <v>27</v>
      </c>
      <c r="C79" s="36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4"/>
      <c r="Q79" s="5"/>
    </row>
    <row r="80" spans="2:17" ht="15">
      <c r="B80" s="36" t="s">
        <v>33</v>
      </c>
      <c r="C80" s="36"/>
      <c r="D80" s="63">
        <v>337400</v>
      </c>
      <c r="E80" s="64">
        <v>298989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4">
        <f>SUM(D80:O80)</f>
        <v>636389</v>
      </c>
      <c r="Q80" s="5">
        <f>+P80/$P$84</f>
        <v>0.28553027868981695</v>
      </c>
    </row>
    <row r="81" spans="2:17" ht="15">
      <c r="B81" s="62" t="s">
        <v>34</v>
      </c>
      <c r="C81" s="36"/>
      <c r="D81" s="63">
        <v>506510</v>
      </c>
      <c r="E81" s="64">
        <v>454429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4">
        <f>SUM(D81:O81)</f>
        <v>960939</v>
      </c>
      <c r="Q81" s="5">
        <f>+P81/$P$85</f>
        <v>0.2980924171769843</v>
      </c>
    </row>
    <row r="82" spans="2:17" ht="15">
      <c r="B82" s="62"/>
      <c r="C82" s="36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4"/>
      <c r="Q82" s="5"/>
    </row>
    <row r="83" spans="2:17" ht="15.75">
      <c r="B83" s="43" t="s">
        <v>45</v>
      </c>
      <c r="C83" s="36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4"/>
      <c r="Q83" s="5"/>
    </row>
    <row r="84" spans="2:17" ht="15.75">
      <c r="B84" s="67" t="s">
        <v>33</v>
      </c>
      <c r="C84" s="67"/>
      <c r="D84" s="68">
        <f aca="true" t="shared" si="12" ref="D84:F85">+D76+D80</f>
        <v>758640.1</v>
      </c>
      <c r="E84" s="69">
        <f t="shared" si="12"/>
        <v>740056.5</v>
      </c>
      <c r="F84" s="69">
        <f t="shared" si="12"/>
        <v>730100.3</v>
      </c>
      <c r="G84" s="69">
        <f aca="true" t="shared" si="13" ref="G84:O85">+G76+G80</f>
        <v>0</v>
      </c>
      <c r="H84" s="69">
        <f t="shared" si="13"/>
        <v>0</v>
      </c>
      <c r="I84" s="69">
        <f t="shared" si="13"/>
        <v>0</v>
      </c>
      <c r="J84" s="69">
        <f t="shared" si="13"/>
        <v>0</v>
      </c>
      <c r="K84" s="69">
        <f t="shared" si="13"/>
        <v>0</v>
      </c>
      <c r="L84" s="69">
        <f t="shared" si="13"/>
        <v>0</v>
      </c>
      <c r="M84" s="69">
        <f t="shared" si="13"/>
        <v>0</v>
      </c>
      <c r="N84" s="69">
        <f t="shared" si="13"/>
        <v>0</v>
      </c>
      <c r="O84" s="69">
        <f t="shared" si="13"/>
        <v>0</v>
      </c>
      <c r="P84" s="68">
        <f>+P76+P80</f>
        <v>2228796.9</v>
      </c>
      <c r="Q84" s="71">
        <f>+Q76+Q80</f>
        <v>1</v>
      </c>
    </row>
    <row r="85" spans="2:17" ht="15.75">
      <c r="B85" s="43" t="s">
        <v>34</v>
      </c>
      <c r="C85" s="67"/>
      <c r="D85" s="68">
        <f t="shared" si="12"/>
        <v>1101070.8399999999</v>
      </c>
      <c r="E85" s="69">
        <f t="shared" si="12"/>
        <v>1062176.3</v>
      </c>
      <c r="F85" s="69">
        <f t="shared" si="12"/>
        <v>1060380.6500000001</v>
      </c>
      <c r="G85" s="69">
        <f t="shared" si="13"/>
        <v>0</v>
      </c>
      <c r="H85" s="69">
        <f t="shared" si="13"/>
        <v>0</v>
      </c>
      <c r="I85" s="69">
        <f t="shared" si="13"/>
        <v>0</v>
      </c>
      <c r="J85" s="69">
        <f t="shared" si="13"/>
        <v>0</v>
      </c>
      <c r="K85" s="69">
        <f t="shared" si="13"/>
        <v>0</v>
      </c>
      <c r="L85" s="69">
        <f t="shared" si="13"/>
        <v>0</v>
      </c>
      <c r="M85" s="69">
        <f t="shared" si="13"/>
        <v>0</v>
      </c>
      <c r="N85" s="69">
        <f t="shared" si="13"/>
        <v>0</v>
      </c>
      <c r="O85" s="69">
        <f t="shared" si="13"/>
        <v>0</v>
      </c>
      <c r="P85" s="68">
        <f>+P77+P81</f>
        <v>3223627.79</v>
      </c>
      <c r="Q85" s="71">
        <f>+Q77+Q81</f>
        <v>1</v>
      </c>
    </row>
    <row r="86" spans="2:17" ht="15.75" thickBot="1">
      <c r="B86" s="30"/>
      <c r="C86" s="30"/>
      <c r="D86" s="72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21"/>
      <c r="Q86" s="22"/>
    </row>
    <row r="87" ht="15.75" thickTop="1">
      <c r="B87" s="1" t="s">
        <v>40</v>
      </c>
    </row>
    <row r="88" spans="1:18" ht="15">
      <c r="A88" s="15" t="s">
        <v>30</v>
      </c>
      <c r="R88" s="15" t="s">
        <v>30</v>
      </c>
    </row>
  </sheetData>
  <sheetProtection/>
  <printOptions/>
  <pageMargins left="0.31496062992125984" right="0.31496062992125984" top="0.31496062992125984" bottom="0.31496062992125984" header="0.5118110236220472" footer="0.5118110236220472"/>
  <pageSetup fitToHeight="1" fitToWidth="1" orientation="landscape" paperSize="9" scale="5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.66796875" style="12" customWidth="1"/>
    <col min="2" max="2" width="23.3359375" style="12" customWidth="1"/>
    <col min="3" max="3" width="18.4453125" style="12" customWidth="1"/>
    <col min="4" max="13" width="12.4453125" style="12" bestFit="1" customWidth="1"/>
    <col min="14" max="14" width="13.4453125" style="12" bestFit="1" customWidth="1"/>
    <col min="15" max="15" width="12.4453125" style="12" bestFit="1" customWidth="1"/>
    <col min="16" max="16" width="11.5546875" style="12" customWidth="1"/>
    <col min="17" max="17" width="8.77734375" style="12" customWidth="1"/>
    <col min="18" max="18" width="0.9921875" style="12" customWidth="1"/>
    <col min="19" max="16384" width="11.5546875" style="12" customWidth="1"/>
  </cols>
  <sheetData>
    <row r="1" spans="4:17" ht="15.75">
      <c r="D1" s="16" t="s">
        <v>54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5"/>
    </row>
    <row r="2" spans="4:15" ht="15"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7" ht="16.5" thickBot="1">
      <c r="B3" s="26"/>
      <c r="C3" s="2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>
        <v>1996</v>
      </c>
      <c r="Q3" s="26"/>
    </row>
    <row r="4" spans="2:17" ht="16.5" thickBot="1" thickTop="1">
      <c r="B4" s="30"/>
      <c r="C4" s="31">
        <v>1995</v>
      </c>
      <c r="D4" s="32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4" t="s">
        <v>11</v>
      </c>
      <c r="M4" s="33" t="s">
        <v>12</v>
      </c>
      <c r="N4" s="33" t="s">
        <v>13</v>
      </c>
      <c r="O4" s="33" t="s">
        <v>14</v>
      </c>
      <c r="P4" s="35" t="s">
        <v>15</v>
      </c>
      <c r="Q4" s="17" t="s">
        <v>16</v>
      </c>
    </row>
    <row r="5" spans="2:17" ht="15.75" thickTop="1"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39"/>
    </row>
    <row r="6" spans="2:18" ht="15">
      <c r="B6" s="36" t="s">
        <v>17</v>
      </c>
      <c r="C6" s="19" t="e">
        <f>+#REF!</f>
        <v>#REF!</v>
      </c>
      <c r="D6" s="40">
        <v>153997</v>
      </c>
      <c r="E6" s="41">
        <v>123227</v>
      </c>
      <c r="F6" s="41">
        <v>127884</v>
      </c>
      <c r="G6" s="41">
        <v>89080</v>
      </c>
      <c r="H6" s="41">
        <v>100497</v>
      </c>
      <c r="I6" s="41">
        <v>69072</v>
      </c>
      <c r="J6" s="41">
        <v>70170.5</v>
      </c>
      <c r="K6" s="41">
        <v>61456.5</v>
      </c>
      <c r="L6" s="41">
        <v>66283</v>
      </c>
      <c r="M6" s="41">
        <v>104452.5</v>
      </c>
      <c r="N6" s="41">
        <v>90658.5</v>
      </c>
      <c r="O6" s="41">
        <v>120796</v>
      </c>
      <c r="P6" s="4">
        <f aca="true" t="shared" si="0" ref="P6:P17">SUM(D6:O6)</f>
        <v>1177574</v>
      </c>
      <c r="Q6" s="5">
        <f aca="true" t="shared" si="1" ref="Q6:Q15">+P6/$P$19</f>
        <v>0.13000980339281631</v>
      </c>
      <c r="R6" s="42"/>
    </row>
    <row r="7" spans="2:18" ht="15">
      <c r="B7" s="36" t="s">
        <v>18</v>
      </c>
      <c r="C7" s="19" t="e">
        <f>+#REF!</f>
        <v>#REF!</v>
      </c>
      <c r="D7" s="40">
        <v>45502</v>
      </c>
      <c r="E7" s="41">
        <v>60445</v>
      </c>
      <c r="F7" s="41">
        <v>105364</v>
      </c>
      <c r="G7" s="41">
        <v>95818</v>
      </c>
      <c r="H7" s="41">
        <v>99261</v>
      </c>
      <c r="I7" s="41">
        <v>87360</v>
      </c>
      <c r="J7" s="41">
        <v>77199</v>
      </c>
      <c r="K7" s="41">
        <v>64429</v>
      </c>
      <c r="L7" s="41">
        <v>65439</v>
      </c>
      <c r="M7" s="41">
        <v>93027</v>
      </c>
      <c r="N7" s="41">
        <v>69973</v>
      </c>
      <c r="O7" s="41">
        <v>58315</v>
      </c>
      <c r="P7" s="4">
        <f>SUM(D7:O7)</f>
        <v>922132</v>
      </c>
      <c r="Q7" s="5">
        <f t="shared" si="1"/>
        <v>0.10180778449781032</v>
      </c>
      <c r="R7" s="42"/>
    </row>
    <row r="8" spans="2:18" ht="15">
      <c r="B8" s="36" t="s">
        <v>19</v>
      </c>
      <c r="C8" s="41"/>
      <c r="D8" s="40"/>
      <c r="E8" s="41"/>
      <c r="F8" s="41"/>
      <c r="G8" s="41"/>
      <c r="H8" s="41"/>
      <c r="I8" s="41">
        <v>7175</v>
      </c>
      <c r="J8" s="41">
        <v>51513</v>
      </c>
      <c r="K8" s="41">
        <v>51779</v>
      </c>
      <c r="L8" s="41">
        <v>67369</v>
      </c>
      <c r="M8" s="41">
        <v>99588</v>
      </c>
      <c r="N8" s="41">
        <v>80048</v>
      </c>
      <c r="O8" s="41">
        <v>137356</v>
      </c>
      <c r="P8" s="4">
        <f t="shared" si="0"/>
        <v>494828</v>
      </c>
      <c r="Q8" s="5">
        <f t="shared" si="1"/>
        <v>0.05463137857430659</v>
      </c>
      <c r="R8" s="42"/>
    </row>
    <row r="9" spans="2:18" ht="15">
      <c r="B9" s="36" t="s">
        <v>20</v>
      </c>
      <c r="C9" s="41"/>
      <c r="D9" s="40"/>
      <c r="E9" s="41"/>
      <c r="F9" s="41"/>
      <c r="G9" s="41"/>
      <c r="H9" s="41"/>
      <c r="I9" s="41"/>
      <c r="J9" s="41">
        <v>5180</v>
      </c>
      <c r="K9" s="41">
        <v>4500</v>
      </c>
      <c r="L9" s="41">
        <v>10863</v>
      </c>
      <c r="M9" s="41">
        <v>41000</v>
      </c>
      <c r="N9" s="41">
        <v>31360</v>
      </c>
      <c r="O9" s="41">
        <v>41102</v>
      </c>
      <c r="P9" s="4">
        <f t="shared" si="0"/>
        <v>134005</v>
      </c>
      <c r="Q9" s="5">
        <f t="shared" si="1"/>
        <v>0.014794793111646783</v>
      </c>
      <c r="R9" s="42"/>
    </row>
    <row r="10" spans="2:18" ht="15">
      <c r="B10" s="36" t="s">
        <v>21</v>
      </c>
      <c r="C10" s="41"/>
      <c r="D10" s="40"/>
      <c r="E10" s="41"/>
      <c r="F10" s="41"/>
      <c r="G10" s="41"/>
      <c r="H10" s="41">
        <v>12015</v>
      </c>
      <c r="I10" s="41">
        <v>44965</v>
      </c>
      <c r="J10" s="41">
        <v>47313</v>
      </c>
      <c r="K10" s="41">
        <v>8323</v>
      </c>
      <c r="L10" s="41">
        <v>57502</v>
      </c>
      <c r="M10" s="41">
        <v>123645</v>
      </c>
      <c r="N10" s="41">
        <v>126854</v>
      </c>
      <c r="O10" s="41">
        <v>194677</v>
      </c>
      <c r="P10" s="4">
        <f>SUM(D10:O10)</f>
        <v>615294</v>
      </c>
      <c r="Q10" s="5">
        <f t="shared" si="1"/>
        <v>0.0679314013121719</v>
      </c>
      <c r="R10" s="42"/>
    </row>
    <row r="11" spans="2:18" ht="15">
      <c r="B11" s="36" t="s">
        <v>22</v>
      </c>
      <c r="C11" s="41"/>
      <c r="D11" s="40"/>
      <c r="E11" s="41"/>
      <c r="F11" s="41"/>
      <c r="G11" s="41"/>
      <c r="H11" s="41">
        <v>700</v>
      </c>
      <c r="I11" s="41">
        <v>17925</v>
      </c>
      <c r="J11" s="41">
        <v>19920</v>
      </c>
      <c r="K11" s="41">
        <v>18837</v>
      </c>
      <c r="L11" s="41">
        <v>19285</v>
      </c>
      <c r="M11" s="41">
        <v>40835</v>
      </c>
      <c r="N11" s="41">
        <v>38546</v>
      </c>
      <c r="O11" s="41">
        <v>30952</v>
      </c>
      <c r="P11" s="4">
        <f t="shared" si="0"/>
        <v>187000</v>
      </c>
      <c r="Q11" s="5">
        <f t="shared" si="1"/>
        <v>0.020645694652273783</v>
      </c>
      <c r="R11" s="42"/>
    </row>
    <row r="12" spans="2:18" ht="15">
      <c r="B12" s="36" t="s">
        <v>23</v>
      </c>
      <c r="C12" s="19" t="e">
        <f>+#REF!</f>
        <v>#REF!</v>
      </c>
      <c r="D12" s="40">
        <v>106758</v>
      </c>
      <c r="E12" s="41">
        <v>87459</v>
      </c>
      <c r="F12" s="41">
        <v>107622</v>
      </c>
      <c r="G12" s="41">
        <v>115110</v>
      </c>
      <c r="H12" s="41">
        <v>121601</v>
      </c>
      <c r="I12" s="41">
        <v>74841</v>
      </c>
      <c r="J12" s="41">
        <v>68109</v>
      </c>
      <c r="K12" s="41">
        <v>56972</v>
      </c>
      <c r="L12" s="41">
        <v>65230</v>
      </c>
      <c r="M12" s="41">
        <v>102073</v>
      </c>
      <c r="N12" s="41">
        <v>76796</v>
      </c>
      <c r="O12" s="41">
        <v>81217</v>
      </c>
      <c r="P12" s="4">
        <f t="shared" si="0"/>
        <v>1063788</v>
      </c>
      <c r="Q12" s="5">
        <f t="shared" si="1"/>
        <v>0.11744728461365253</v>
      </c>
      <c r="R12" s="42"/>
    </row>
    <row r="13" spans="2:18" ht="15">
      <c r="B13" s="36" t="s">
        <v>24</v>
      </c>
      <c r="C13" s="19" t="e">
        <f>+#REF!</f>
        <v>#REF!</v>
      </c>
      <c r="D13" s="40">
        <v>59000</v>
      </c>
      <c r="E13" s="41">
        <v>45225</v>
      </c>
      <c r="F13" s="41">
        <v>69371</v>
      </c>
      <c r="G13" s="41">
        <v>81538</v>
      </c>
      <c r="H13" s="41">
        <v>82087</v>
      </c>
      <c r="I13" s="41">
        <v>64448</v>
      </c>
      <c r="J13" s="41">
        <v>39327</v>
      </c>
      <c r="K13" s="41">
        <v>75424</v>
      </c>
      <c r="L13" s="41">
        <v>73135</v>
      </c>
      <c r="M13" s="41">
        <v>112554</v>
      </c>
      <c r="N13" s="41">
        <v>96679</v>
      </c>
      <c r="O13" s="41">
        <v>75563</v>
      </c>
      <c r="P13" s="4">
        <f t="shared" si="0"/>
        <v>874351</v>
      </c>
      <c r="Q13" s="5">
        <f t="shared" si="1"/>
        <v>0.09653253350219378</v>
      </c>
      <c r="R13" s="42"/>
    </row>
    <row r="14" spans="2:18" ht="15">
      <c r="B14" s="36" t="s">
        <v>25</v>
      </c>
      <c r="C14" s="41"/>
      <c r="D14" s="40"/>
      <c r="E14" s="41"/>
      <c r="F14" s="41">
        <v>20648</v>
      </c>
      <c r="G14" s="41">
        <v>63857.5</v>
      </c>
      <c r="H14" s="41">
        <v>77986.5</v>
      </c>
      <c r="I14" s="41">
        <v>59390.5</v>
      </c>
      <c r="J14" s="41">
        <v>60948</v>
      </c>
      <c r="K14" s="41">
        <v>47625</v>
      </c>
      <c r="L14" s="41">
        <v>48504</v>
      </c>
      <c r="M14" s="41">
        <v>102410</v>
      </c>
      <c r="N14" s="41">
        <v>89577.5</v>
      </c>
      <c r="O14" s="41">
        <v>120470.5</v>
      </c>
      <c r="P14" s="4">
        <f>SUM(D14:O14)</f>
        <v>691417.5</v>
      </c>
      <c r="Q14" s="5">
        <f t="shared" si="1"/>
        <v>0.07633579990501876</v>
      </c>
      <c r="R14" s="42"/>
    </row>
    <row r="15" spans="2:18" ht="15.75">
      <c r="B15" s="43" t="s">
        <v>26</v>
      </c>
      <c r="C15" s="6" t="e">
        <f aca="true" t="shared" si="2" ref="C15:P15">SUM(C6:C14)</f>
        <v>#REF!</v>
      </c>
      <c r="D15" s="7">
        <f t="shared" si="2"/>
        <v>365257</v>
      </c>
      <c r="E15" s="6">
        <f t="shared" si="2"/>
        <v>316356</v>
      </c>
      <c r="F15" s="6">
        <f t="shared" si="2"/>
        <v>430889</v>
      </c>
      <c r="G15" s="6">
        <f t="shared" si="2"/>
        <v>445403.5</v>
      </c>
      <c r="H15" s="6">
        <f t="shared" si="2"/>
        <v>494147.5</v>
      </c>
      <c r="I15" s="6">
        <f t="shared" si="2"/>
        <v>425176.5</v>
      </c>
      <c r="J15" s="6">
        <f t="shared" si="2"/>
        <v>439679.5</v>
      </c>
      <c r="K15" s="6">
        <f t="shared" si="2"/>
        <v>389345.5</v>
      </c>
      <c r="L15" s="6">
        <f t="shared" si="2"/>
        <v>473610</v>
      </c>
      <c r="M15" s="6">
        <f t="shared" si="2"/>
        <v>819584.5</v>
      </c>
      <c r="N15" s="6">
        <f t="shared" si="2"/>
        <v>700492</v>
      </c>
      <c r="O15" s="6">
        <f t="shared" si="2"/>
        <v>860448.5</v>
      </c>
      <c r="P15" s="4">
        <f t="shared" si="2"/>
        <v>6160389.5</v>
      </c>
      <c r="Q15" s="5">
        <f t="shared" si="1"/>
        <v>0.6801364735618908</v>
      </c>
      <c r="R15" s="42"/>
    </row>
    <row r="16" spans="2:18" ht="15">
      <c r="B16" s="36"/>
      <c r="C16" s="41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"/>
      <c r="Q16" s="44"/>
      <c r="R16" s="42"/>
    </row>
    <row r="17" spans="2:18" ht="15">
      <c r="B17" s="36" t="s">
        <v>27</v>
      </c>
      <c r="C17" s="20" t="e">
        <f>+#REF!</f>
        <v>#REF!</v>
      </c>
      <c r="D17" s="40">
        <v>206020</v>
      </c>
      <c r="E17" s="41">
        <v>267584</v>
      </c>
      <c r="F17" s="41">
        <v>350008</v>
      </c>
      <c r="G17" s="41">
        <v>335273</v>
      </c>
      <c r="H17" s="41">
        <v>317574</v>
      </c>
      <c r="I17" s="41">
        <v>304657</v>
      </c>
      <c r="J17" s="41">
        <v>222407</v>
      </c>
      <c r="K17" s="41">
        <v>44757</v>
      </c>
      <c r="L17" s="41">
        <v>123042</v>
      </c>
      <c r="M17" s="41">
        <v>379373</v>
      </c>
      <c r="N17" s="41">
        <v>94500</v>
      </c>
      <c r="O17" s="41">
        <f>252000-6</f>
        <v>251994</v>
      </c>
      <c r="P17" s="4">
        <f t="shared" si="0"/>
        <v>2897189</v>
      </c>
      <c r="Q17" s="5">
        <f>+P17/$P$19</f>
        <v>0.3198635264381093</v>
      </c>
      <c r="R17" s="42"/>
    </row>
    <row r="18" spans="2:18" ht="15">
      <c r="B18" s="13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"/>
      <c r="Q18" s="14"/>
      <c r="R18" s="42"/>
    </row>
    <row r="19" spans="2:18" ht="15.75">
      <c r="B19" s="47" t="s">
        <v>28</v>
      </c>
      <c r="C19" s="48" t="e">
        <f>+C15+C17</f>
        <v>#REF!</v>
      </c>
      <c r="D19" s="49">
        <f aca="true" t="shared" si="3" ref="D19:O19">+D15+D17</f>
        <v>571277</v>
      </c>
      <c r="E19" s="48">
        <f t="shared" si="3"/>
        <v>583940</v>
      </c>
      <c r="F19" s="48">
        <f t="shared" si="3"/>
        <v>780897</v>
      </c>
      <c r="G19" s="48">
        <f t="shared" si="3"/>
        <v>780676.5</v>
      </c>
      <c r="H19" s="48">
        <f t="shared" si="3"/>
        <v>811721.5</v>
      </c>
      <c r="I19" s="48">
        <f t="shared" si="3"/>
        <v>729833.5</v>
      </c>
      <c r="J19" s="48">
        <f t="shared" si="3"/>
        <v>662086.5</v>
      </c>
      <c r="K19" s="48">
        <f t="shared" si="3"/>
        <v>434102.5</v>
      </c>
      <c r="L19" s="48">
        <f t="shared" si="3"/>
        <v>596652</v>
      </c>
      <c r="M19" s="48">
        <f t="shared" si="3"/>
        <v>1198957.5</v>
      </c>
      <c r="N19" s="48">
        <f t="shared" si="3"/>
        <v>794992</v>
      </c>
      <c r="O19" s="48">
        <f t="shared" si="3"/>
        <v>1112442.5</v>
      </c>
      <c r="P19" s="49">
        <f>+P15+P17</f>
        <v>9057578.5</v>
      </c>
      <c r="Q19" s="50">
        <f>+Q15+Q17</f>
        <v>1</v>
      </c>
      <c r="R19" s="42"/>
    </row>
    <row r="20" spans="2:18" s="18" customFormat="1" ht="15.75">
      <c r="B20" s="80"/>
      <c r="C20" s="81"/>
      <c r="D20" s="8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8"/>
      <c r="Q20" s="83"/>
      <c r="R20" s="84"/>
    </row>
    <row r="21" spans="2:18" s="18" customFormat="1" ht="15.75">
      <c r="B21" s="85" t="s">
        <v>60</v>
      </c>
      <c r="C21" s="86" t="e">
        <f aca="true" t="shared" si="4" ref="C21:P21">+C19/C47</f>
        <v>#REF!</v>
      </c>
      <c r="D21" s="87">
        <f t="shared" si="4"/>
        <v>0.17801621561489114</v>
      </c>
      <c r="E21" s="86">
        <f t="shared" si="4"/>
        <v>0.17531723971871901</v>
      </c>
      <c r="F21" s="86">
        <f t="shared" si="4"/>
        <v>0.17310102963255403</v>
      </c>
      <c r="G21" s="86">
        <f t="shared" si="4"/>
        <v>0.16943919083459832</v>
      </c>
      <c r="H21" s="86">
        <f t="shared" si="4"/>
        <v>0.1705099176503234</v>
      </c>
      <c r="I21" s="86">
        <f t="shared" si="4"/>
        <v>0.17488560950157014</v>
      </c>
      <c r="J21" s="86">
        <f t="shared" si="4"/>
        <v>0.20137124417179406</v>
      </c>
      <c r="K21" s="86">
        <f t="shared" si="4"/>
        <v>0.257290904187695</v>
      </c>
      <c r="L21" s="86">
        <f t="shared" si="4"/>
        <v>0.22187753918125175</v>
      </c>
      <c r="M21" s="86">
        <f t="shared" si="4"/>
        <v>0.2037645431688532</v>
      </c>
      <c r="N21" s="86">
        <f t="shared" si="4"/>
        <v>0.22340963059759164</v>
      </c>
      <c r="O21" s="86">
        <f t="shared" si="4"/>
        <v>0.21362318072456662</v>
      </c>
      <c r="P21" s="89">
        <f t="shared" si="4"/>
        <v>0.18434744308191003</v>
      </c>
      <c r="Q21" s="83"/>
      <c r="R21" s="84"/>
    </row>
    <row r="22" spans="2:18" s="18" customFormat="1" ht="15.75">
      <c r="B22" s="98" t="s">
        <v>59</v>
      </c>
      <c r="C22" s="86"/>
      <c r="D22" s="99">
        <v>821795</v>
      </c>
      <c r="E22" s="100">
        <v>524796</v>
      </c>
      <c r="F22" s="100">
        <v>464269</v>
      </c>
      <c r="G22" s="100">
        <v>648723</v>
      </c>
      <c r="H22" s="100">
        <v>615183.8</v>
      </c>
      <c r="I22" s="100">
        <v>693689</v>
      </c>
      <c r="J22" s="100">
        <v>614718.6</v>
      </c>
      <c r="K22" s="100">
        <v>587256.8</v>
      </c>
      <c r="L22" s="100">
        <v>396437.4</v>
      </c>
      <c r="M22" s="100">
        <v>747666</v>
      </c>
      <c r="N22" s="100">
        <v>1265601.4</v>
      </c>
      <c r="O22" s="100">
        <v>374806.5</v>
      </c>
      <c r="P22" s="3">
        <f>SUM(D22:O22)</f>
        <v>7754942.5</v>
      </c>
      <c r="Q22" s="83"/>
      <c r="R22" s="84"/>
    </row>
    <row r="23" spans="2:18" ht="15.75" thickBot="1">
      <c r="B23" s="30"/>
      <c r="C23" s="30"/>
      <c r="D23" s="5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52"/>
      <c r="Q23" s="53"/>
      <c r="R23" s="54"/>
    </row>
    <row r="24" spans="2:3" ht="15.75" thickTop="1">
      <c r="B24" s="171">
        <f ca="1">NOW()</f>
        <v>40948.65149502315</v>
      </c>
      <c r="C24" s="15" t="s">
        <v>29</v>
      </c>
    </row>
    <row r="25" spans="1:18" ht="15">
      <c r="A25" s="15" t="s">
        <v>30</v>
      </c>
      <c r="B25" s="15"/>
      <c r="Q25" s="15"/>
      <c r="R25" s="15" t="s">
        <v>30</v>
      </c>
    </row>
    <row r="27" spans="1:18" ht="15.75">
      <c r="A27" s="23" t="s">
        <v>46</v>
      </c>
      <c r="D27" s="16" t="s">
        <v>55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55"/>
      <c r="R27" s="15" t="s">
        <v>30</v>
      </c>
    </row>
    <row r="28" spans="4:15" ht="15">
      <c r="D28" s="24" t="s">
        <v>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7" ht="16.5" thickBot="1">
      <c r="B29" s="26"/>
      <c r="C29" s="26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>
        <v>1996</v>
      </c>
      <c r="Q29" s="26"/>
    </row>
    <row r="30" spans="2:17" ht="16.5" thickBot="1" thickTop="1">
      <c r="B30" s="30"/>
      <c r="C30" s="31">
        <v>1995</v>
      </c>
      <c r="D30" s="32" t="s">
        <v>3</v>
      </c>
      <c r="E30" s="33" t="s">
        <v>4</v>
      </c>
      <c r="F30" s="33" t="s">
        <v>5</v>
      </c>
      <c r="G30" s="33" t="s">
        <v>6</v>
      </c>
      <c r="H30" s="33" t="s">
        <v>7</v>
      </c>
      <c r="I30" s="33" t="s">
        <v>8</v>
      </c>
      <c r="J30" s="33" t="s">
        <v>9</v>
      </c>
      <c r="K30" s="33" t="s">
        <v>10</v>
      </c>
      <c r="L30" s="34" t="s">
        <v>11</v>
      </c>
      <c r="M30" s="33" t="s">
        <v>12</v>
      </c>
      <c r="N30" s="33" t="s">
        <v>13</v>
      </c>
      <c r="O30" s="33" t="s">
        <v>14</v>
      </c>
      <c r="P30" s="35" t="s">
        <v>15</v>
      </c>
      <c r="Q30" s="17" t="s">
        <v>16</v>
      </c>
    </row>
    <row r="31" spans="2:17" ht="15.75" thickTop="1">
      <c r="B31" s="36"/>
      <c r="C31" s="36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8"/>
      <c r="Q31" s="39"/>
    </row>
    <row r="32" spans="2:18" ht="15">
      <c r="B32" s="36" t="s">
        <v>31</v>
      </c>
      <c r="C32" s="56">
        <v>6562917</v>
      </c>
      <c r="D32" s="57">
        <v>667255</v>
      </c>
      <c r="E32" s="56">
        <v>803143</v>
      </c>
      <c r="F32" s="56">
        <v>1067233</v>
      </c>
      <c r="G32" s="56">
        <v>1067226</v>
      </c>
      <c r="H32" s="56">
        <v>989663</v>
      </c>
      <c r="I32" s="56">
        <v>934547</v>
      </c>
      <c r="J32" s="56">
        <v>658359</v>
      </c>
      <c r="K32" s="56">
        <v>116489</v>
      </c>
      <c r="L32" s="56">
        <v>351660</v>
      </c>
      <c r="M32" s="56">
        <v>995099</v>
      </c>
      <c r="N32" s="56">
        <v>251681</v>
      </c>
      <c r="O32" s="56">
        <v>751681</v>
      </c>
      <c r="P32" s="8">
        <f aca="true" t="shared" si="5" ref="P32:P38">SUM(D32:O32)</f>
        <v>8654036</v>
      </c>
      <c r="Q32" s="5">
        <f aca="true" t="shared" si="6" ref="Q32:Q37">+P32/$P$47</f>
        <v>0.17613420727612797</v>
      </c>
      <c r="R32" s="42"/>
    </row>
    <row r="33" spans="2:18" ht="15">
      <c r="B33" s="36" t="s">
        <v>17</v>
      </c>
      <c r="C33" s="56">
        <v>4290278</v>
      </c>
      <c r="D33" s="57">
        <v>426858</v>
      </c>
      <c r="E33" s="56">
        <v>347398</v>
      </c>
      <c r="F33" s="56">
        <v>372353</v>
      </c>
      <c r="G33" s="56">
        <v>390707</v>
      </c>
      <c r="H33" s="56">
        <v>455662</v>
      </c>
      <c r="I33" s="56">
        <v>311438</v>
      </c>
      <c r="J33" s="56">
        <v>303625</v>
      </c>
      <c r="K33" s="56">
        <v>244978</v>
      </c>
      <c r="L33" s="56">
        <v>275013</v>
      </c>
      <c r="M33" s="56">
        <v>463462</v>
      </c>
      <c r="N33" s="56">
        <v>415840</v>
      </c>
      <c r="O33" s="56">
        <v>541772</v>
      </c>
      <c r="P33" s="8">
        <f>SUM(D33:O33)</f>
        <v>4549106</v>
      </c>
      <c r="Q33" s="5">
        <f aca="true" t="shared" si="7" ref="Q33:Q45">+P33/$P$47</f>
        <v>0.09258722509648416</v>
      </c>
      <c r="R33" s="42"/>
    </row>
    <row r="34" spans="2:18" ht="15">
      <c r="B34" s="36" t="s">
        <v>18</v>
      </c>
      <c r="C34" s="56">
        <v>2116645</v>
      </c>
      <c r="D34" s="57">
        <v>213296</v>
      </c>
      <c r="E34" s="56">
        <v>278188</v>
      </c>
      <c r="F34" s="56">
        <v>469242</v>
      </c>
      <c r="G34" s="56">
        <v>434021</v>
      </c>
      <c r="H34" s="56">
        <v>451390</v>
      </c>
      <c r="I34" s="56">
        <v>375815</v>
      </c>
      <c r="J34" s="56">
        <v>326681</v>
      </c>
      <c r="K34" s="56">
        <v>262214</v>
      </c>
      <c r="L34" s="56">
        <v>274751</v>
      </c>
      <c r="M34" s="56">
        <v>401529</v>
      </c>
      <c r="N34" s="56">
        <v>307876</v>
      </c>
      <c r="O34" s="56">
        <v>253632</v>
      </c>
      <c r="P34" s="8">
        <f t="shared" si="5"/>
        <v>4048635</v>
      </c>
      <c r="Q34" s="5">
        <f t="shared" si="6"/>
        <v>0.08240121906996763</v>
      </c>
      <c r="R34" s="42"/>
    </row>
    <row r="35" spans="2:17" ht="15">
      <c r="B35" s="36" t="s">
        <v>19</v>
      </c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11">
        <v>2226726</v>
      </c>
      <c r="Q35" s="5">
        <f t="shared" si="7"/>
        <v>0.04532019728495968</v>
      </c>
    </row>
    <row r="36" spans="2:18" ht="15">
      <c r="B36" s="36" t="s">
        <v>20</v>
      </c>
      <c r="C36" s="56"/>
      <c r="D36" s="57"/>
      <c r="E36" s="56"/>
      <c r="F36" s="56"/>
      <c r="G36" s="56"/>
      <c r="H36" s="56"/>
      <c r="I36" s="56"/>
      <c r="J36" s="56">
        <v>23822</v>
      </c>
      <c r="K36" s="56">
        <v>20201</v>
      </c>
      <c r="L36" s="56">
        <v>74831</v>
      </c>
      <c r="M36" s="56">
        <v>187920</v>
      </c>
      <c r="N36" s="56">
        <v>141117</v>
      </c>
      <c r="O36" s="56">
        <v>189070</v>
      </c>
      <c r="P36" s="8">
        <f>SUM(D36:O36)</f>
        <v>636961</v>
      </c>
      <c r="Q36" s="5">
        <f t="shared" si="7"/>
        <v>0.012963965114174443</v>
      </c>
      <c r="R36" s="42"/>
    </row>
    <row r="37" spans="2:17" ht="15">
      <c r="B37" s="36" t="s">
        <v>21</v>
      </c>
      <c r="C37" s="56"/>
      <c r="D37" s="57"/>
      <c r="E37" s="56"/>
      <c r="F37" s="56"/>
      <c r="G37" s="56"/>
      <c r="H37" s="56">
        <v>62985</v>
      </c>
      <c r="I37" s="56">
        <v>230625</v>
      </c>
      <c r="J37" s="56">
        <v>233994</v>
      </c>
      <c r="K37" s="56">
        <v>35082</v>
      </c>
      <c r="L37" s="56">
        <v>301243</v>
      </c>
      <c r="M37" s="56">
        <v>668656</v>
      </c>
      <c r="N37" s="56">
        <v>711627</v>
      </c>
      <c r="O37" s="56">
        <v>1037940</v>
      </c>
      <c r="P37" s="8">
        <f t="shared" si="5"/>
        <v>3282152</v>
      </c>
      <c r="Q37" s="5">
        <f t="shared" si="6"/>
        <v>0.06680111345501197</v>
      </c>
    </row>
    <row r="38" spans="2:17" ht="15">
      <c r="B38" s="36" t="s">
        <v>22</v>
      </c>
      <c r="C38" s="56">
        <v>95037</v>
      </c>
      <c r="D38" s="57">
        <v>20029</v>
      </c>
      <c r="E38" s="56">
        <v>30967</v>
      </c>
      <c r="F38" s="56">
        <v>42490</v>
      </c>
      <c r="G38" s="56">
        <v>68377</v>
      </c>
      <c r="H38" s="56">
        <v>95950</v>
      </c>
      <c r="I38" s="56">
        <v>91319</v>
      </c>
      <c r="J38" s="56">
        <v>87385</v>
      </c>
      <c r="K38" s="56">
        <v>84767</v>
      </c>
      <c r="L38" s="56">
        <v>86786</v>
      </c>
      <c r="M38" s="56">
        <v>183765</v>
      </c>
      <c r="N38" s="56">
        <v>173461</v>
      </c>
      <c r="O38" s="56">
        <v>139284</v>
      </c>
      <c r="P38" s="8">
        <f t="shared" si="5"/>
        <v>1104580</v>
      </c>
      <c r="Q38" s="5">
        <f t="shared" si="7"/>
        <v>0.02248133965158747</v>
      </c>
    </row>
    <row r="39" spans="2:17" ht="15">
      <c r="B39" s="36" t="s">
        <v>23</v>
      </c>
      <c r="C39" s="56">
        <v>4032865</v>
      </c>
      <c r="D39" s="57">
        <v>458899</v>
      </c>
      <c r="E39" s="56">
        <v>355176</v>
      </c>
      <c r="F39" s="56">
        <v>478777</v>
      </c>
      <c r="G39" s="56">
        <v>462155</v>
      </c>
      <c r="H39" s="56">
        <v>510343</v>
      </c>
      <c r="I39" s="56">
        <v>336672</v>
      </c>
      <c r="J39" s="56">
        <v>297403</v>
      </c>
      <c r="K39" s="56">
        <v>247256</v>
      </c>
      <c r="L39" s="56">
        <v>281005</v>
      </c>
      <c r="M39" s="56">
        <v>441976</v>
      </c>
      <c r="N39" s="56">
        <v>340939</v>
      </c>
      <c r="O39" s="56">
        <v>375140</v>
      </c>
      <c r="P39" s="8">
        <f>SUM(D39:O39)</f>
        <v>4585741</v>
      </c>
      <c r="Q39" s="5">
        <f t="shared" si="7"/>
        <v>0.09333285137808976</v>
      </c>
    </row>
    <row r="40" spans="2:18" ht="15">
      <c r="B40" s="36" t="s">
        <v>24</v>
      </c>
      <c r="C40" s="56">
        <v>2644367</v>
      </c>
      <c r="D40" s="57">
        <v>268370</v>
      </c>
      <c r="E40" s="56">
        <v>205006</v>
      </c>
      <c r="F40" s="56">
        <v>307387</v>
      </c>
      <c r="G40" s="56">
        <v>362807</v>
      </c>
      <c r="H40" s="56">
        <v>370773</v>
      </c>
      <c r="I40" s="56">
        <v>293238</v>
      </c>
      <c r="J40" s="56">
        <v>178588</v>
      </c>
      <c r="K40" s="56">
        <v>343179</v>
      </c>
      <c r="L40" s="56">
        <v>329109</v>
      </c>
      <c r="M40" s="56">
        <v>511482</v>
      </c>
      <c r="N40" s="56">
        <v>437957</v>
      </c>
      <c r="O40" s="56">
        <v>341668</v>
      </c>
      <c r="P40" s="8">
        <f>SUM(D40:O40)</f>
        <v>3949564</v>
      </c>
      <c r="Q40" s="5">
        <f t="shared" si="7"/>
        <v>0.08038484289022291</v>
      </c>
      <c r="R40" s="42"/>
    </row>
    <row r="41" spans="2:18" ht="15">
      <c r="B41" s="36" t="s">
        <v>25</v>
      </c>
      <c r="C41" s="56">
        <v>2023108</v>
      </c>
      <c r="D41" s="57">
        <v>281249</v>
      </c>
      <c r="E41" s="56">
        <v>219230</v>
      </c>
      <c r="F41" s="56">
        <v>307587</v>
      </c>
      <c r="G41" s="56">
        <v>334991</v>
      </c>
      <c r="H41" s="56">
        <v>415604</v>
      </c>
      <c r="I41" s="56">
        <v>273030</v>
      </c>
      <c r="J41" s="56">
        <v>254676</v>
      </c>
      <c r="K41" s="56">
        <v>186528</v>
      </c>
      <c r="L41" s="56">
        <v>209108</v>
      </c>
      <c r="M41" s="56">
        <v>456161</v>
      </c>
      <c r="N41" s="56">
        <v>399951</v>
      </c>
      <c r="O41" s="56">
        <v>534145</v>
      </c>
      <c r="P41" s="8">
        <f>SUM(D41:O41)</f>
        <v>3872260</v>
      </c>
      <c r="Q41" s="5">
        <f>+P41/$P$47</f>
        <v>0.07881148697175044</v>
      </c>
      <c r="R41" s="42"/>
    </row>
    <row r="42" spans="2:18" ht="15.75">
      <c r="B42" s="43" t="s">
        <v>26</v>
      </c>
      <c r="C42" s="9">
        <f>SUM(C32:C41)</f>
        <v>21765217</v>
      </c>
      <c r="D42" s="10">
        <f aca="true" t="shared" si="8" ref="D42:P42">SUM(D32:D41)</f>
        <v>2335956</v>
      </c>
      <c r="E42" s="9">
        <f t="shared" si="8"/>
        <v>2239108</v>
      </c>
      <c r="F42" s="9">
        <f t="shared" si="8"/>
        <v>3045069</v>
      </c>
      <c r="G42" s="9">
        <f t="shared" si="8"/>
        <v>3120284</v>
      </c>
      <c r="H42" s="9">
        <f t="shared" si="8"/>
        <v>3352370</v>
      </c>
      <c r="I42" s="9">
        <f t="shared" si="8"/>
        <v>2846684</v>
      </c>
      <c r="J42" s="9">
        <f t="shared" si="8"/>
        <v>2364533</v>
      </c>
      <c r="K42" s="9">
        <f t="shared" si="8"/>
        <v>1540694</v>
      </c>
      <c r="L42" s="9">
        <f t="shared" si="8"/>
        <v>2183506</v>
      </c>
      <c r="M42" s="9">
        <f t="shared" si="8"/>
        <v>4310050</v>
      </c>
      <c r="N42" s="9">
        <f t="shared" si="8"/>
        <v>3180449</v>
      </c>
      <c r="O42" s="9">
        <f t="shared" si="8"/>
        <v>4164332</v>
      </c>
      <c r="P42" s="8">
        <f t="shared" si="8"/>
        <v>36909761</v>
      </c>
      <c r="Q42" s="5">
        <f t="shared" si="7"/>
        <v>0.7512184481883765</v>
      </c>
      <c r="R42" s="42"/>
    </row>
    <row r="43" spans="2:18" ht="15">
      <c r="B43" s="36"/>
      <c r="C43" s="41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"/>
      <c r="Q43" s="44"/>
      <c r="R43" s="42"/>
    </row>
    <row r="44" spans="2:18" ht="15">
      <c r="B44" s="36" t="s">
        <v>27</v>
      </c>
      <c r="C44" s="41"/>
      <c r="D44" s="40">
        <v>205918</v>
      </c>
      <c r="E44" s="41">
        <v>288511</v>
      </c>
      <c r="F44" s="41">
        <v>398919</v>
      </c>
      <c r="G44" s="41">
        <v>419904</v>
      </c>
      <c r="H44" s="41">
        <v>418520</v>
      </c>
      <c r="I44" s="41">
        <v>391974</v>
      </c>
      <c r="J44" s="41">
        <v>264998</v>
      </c>
      <c r="K44" s="41">
        <v>30022</v>
      </c>
      <c r="L44" s="41">
        <v>153939</v>
      </c>
      <c r="M44" s="41">
        <v>578885</v>
      </c>
      <c r="N44" s="41">
        <v>126320</v>
      </c>
      <c r="O44" s="41">
        <v>291985</v>
      </c>
      <c r="P44" s="8">
        <f>SUM(D44:O44)</f>
        <v>3569895</v>
      </c>
      <c r="Q44" s="5">
        <f t="shared" si="7"/>
        <v>0.07265750060249494</v>
      </c>
      <c r="R44" s="42"/>
    </row>
    <row r="45" spans="2:18" ht="15">
      <c r="B45" s="36" t="s">
        <v>57</v>
      </c>
      <c r="C45" s="41"/>
      <c r="D45" s="40">
        <v>667255</v>
      </c>
      <c r="E45" s="41">
        <v>803143</v>
      </c>
      <c r="F45" s="41">
        <v>1067233</v>
      </c>
      <c r="G45" s="41">
        <v>1067226</v>
      </c>
      <c r="H45" s="41">
        <v>989663</v>
      </c>
      <c r="I45" s="41">
        <v>934547</v>
      </c>
      <c r="J45" s="41">
        <v>658359</v>
      </c>
      <c r="K45" s="41">
        <v>116489</v>
      </c>
      <c r="L45" s="41">
        <v>351660</v>
      </c>
      <c r="M45" s="41">
        <v>995099</v>
      </c>
      <c r="N45" s="41">
        <v>251681</v>
      </c>
      <c r="O45" s="41">
        <v>751182</v>
      </c>
      <c r="P45" s="8">
        <f>SUM(D45:O45)</f>
        <v>8653537</v>
      </c>
      <c r="Q45" s="5">
        <f t="shared" si="7"/>
        <v>0.17612405120912863</v>
      </c>
      <c r="R45" s="42"/>
    </row>
    <row r="46" spans="2:18" ht="15">
      <c r="B46" s="13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"/>
      <c r="Q46" s="14"/>
      <c r="R46" s="42"/>
    </row>
    <row r="47" spans="2:18" ht="15.75">
      <c r="B47" s="47" t="s">
        <v>28</v>
      </c>
      <c r="C47" s="58">
        <f>+C42+C44+C45</f>
        <v>21765217</v>
      </c>
      <c r="D47" s="59">
        <f aca="true" t="shared" si="9" ref="D47:P47">+D42+D44+D45</f>
        <v>3209129</v>
      </c>
      <c r="E47" s="58">
        <f t="shared" si="9"/>
        <v>3330762</v>
      </c>
      <c r="F47" s="58">
        <f t="shared" si="9"/>
        <v>4511221</v>
      </c>
      <c r="G47" s="58">
        <f t="shared" si="9"/>
        <v>4607414</v>
      </c>
      <c r="H47" s="58">
        <f t="shared" si="9"/>
        <v>4760553</v>
      </c>
      <c r="I47" s="58">
        <f t="shared" si="9"/>
        <v>4173205</v>
      </c>
      <c r="J47" s="58">
        <f t="shared" si="9"/>
        <v>3287890</v>
      </c>
      <c r="K47" s="58">
        <f t="shared" si="9"/>
        <v>1687205</v>
      </c>
      <c r="L47" s="58">
        <f t="shared" si="9"/>
        <v>2689105</v>
      </c>
      <c r="M47" s="58">
        <f t="shared" si="9"/>
        <v>5884034</v>
      </c>
      <c r="N47" s="58">
        <f t="shared" si="9"/>
        <v>3558450</v>
      </c>
      <c r="O47" s="58">
        <f t="shared" si="9"/>
        <v>5207499</v>
      </c>
      <c r="P47" s="59">
        <f t="shared" si="9"/>
        <v>49133193</v>
      </c>
      <c r="Q47" s="50">
        <f>+Q42+Q44+Q45</f>
        <v>1</v>
      </c>
      <c r="R47" s="42"/>
    </row>
    <row r="48" spans="2:18" ht="15.75" thickBot="1">
      <c r="B48" s="30"/>
      <c r="C48" s="30"/>
      <c r="D48" s="5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52"/>
      <c r="Q48" s="53"/>
      <c r="R48" s="54"/>
    </row>
    <row r="49" spans="2:3" ht="15.75" thickTop="1">
      <c r="B49" s="171">
        <f ca="1">NOW()</f>
        <v>40948.65149502315</v>
      </c>
      <c r="C49" s="15" t="s">
        <v>58</v>
      </c>
    </row>
    <row r="50" spans="1:18" ht="15">
      <c r="A50" s="15" t="s">
        <v>30</v>
      </c>
      <c r="B50" s="15"/>
      <c r="Q50" s="15"/>
      <c r="R50" s="15" t="s">
        <v>30</v>
      </c>
    </row>
    <row r="52" spans="1:18" ht="15.75">
      <c r="A52" s="23" t="s">
        <v>46</v>
      </c>
      <c r="D52" s="16" t="s"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Q52" s="55"/>
      <c r="R52" s="15" t="s">
        <v>30</v>
      </c>
    </row>
    <row r="53" spans="4:15" ht="15">
      <c r="D53" s="24" t="s">
        <v>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7" ht="16.5" thickBot="1">
      <c r="B54" s="26"/>
      <c r="C54" s="26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>
        <v>1996</v>
      </c>
      <c r="Q54" s="26"/>
    </row>
    <row r="55" spans="2:17" ht="16.5" thickBot="1" thickTop="1">
      <c r="B55" s="30"/>
      <c r="C55" s="31">
        <v>1995</v>
      </c>
      <c r="D55" s="32" t="s">
        <v>3</v>
      </c>
      <c r="E55" s="33" t="s">
        <v>4</v>
      </c>
      <c r="F55" s="33" t="s">
        <v>5</v>
      </c>
      <c r="G55" s="33" t="s">
        <v>6</v>
      </c>
      <c r="H55" s="33" t="s">
        <v>7</v>
      </c>
      <c r="I55" s="33" t="s">
        <v>8</v>
      </c>
      <c r="J55" s="33" t="s">
        <v>9</v>
      </c>
      <c r="K55" s="33" t="s">
        <v>10</v>
      </c>
      <c r="L55" s="34" t="s">
        <v>11</v>
      </c>
      <c r="M55" s="33" t="s">
        <v>12</v>
      </c>
      <c r="N55" s="33" t="s">
        <v>13</v>
      </c>
      <c r="O55" s="33" t="s">
        <v>14</v>
      </c>
      <c r="P55" s="35" t="s">
        <v>15</v>
      </c>
      <c r="Q55" s="17" t="s">
        <v>16</v>
      </c>
    </row>
    <row r="56" spans="2:17" ht="15.75" thickTop="1">
      <c r="B56" s="13"/>
      <c r="C56" s="13"/>
      <c r="D56" s="6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0"/>
      <c r="Q56" s="61"/>
    </row>
    <row r="57" spans="2:17" ht="15">
      <c r="B57" s="62" t="s">
        <v>32</v>
      </c>
      <c r="C57" s="36"/>
      <c r="D57" s="37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"/>
      <c r="Q57" s="5"/>
    </row>
    <row r="58" spans="2:17" ht="15">
      <c r="B58" s="36" t="s">
        <v>33</v>
      </c>
      <c r="C58" s="36"/>
      <c r="D58" s="63"/>
      <c r="E58" s="64">
        <v>116649</v>
      </c>
      <c r="F58" s="64">
        <v>108876.2</v>
      </c>
      <c r="G58" s="64">
        <v>150799.45</v>
      </c>
      <c r="H58" s="64">
        <v>169777.1</v>
      </c>
      <c r="I58" s="64">
        <v>157916.1</v>
      </c>
      <c r="J58" s="64">
        <v>136172.05</v>
      </c>
      <c r="K58" s="64">
        <v>80921.7</v>
      </c>
      <c r="L58" s="64">
        <v>54000.2</v>
      </c>
      <c r="M58" s="64">
        <v>49741.6</v>
      </c>
      <c r="N58" s="64">
        <v>57966.7</v>
      </c>
      <c r="O58" s="64">
        <v>12850.8</v>
      </c>
      <c r="P58" s="4">
        <f aca="true" t="shared" si="10" ref="P58:P71">SUM(D58:O58)</f>
        <v>1095670.9</v>
      </c>
      <c r="Q58" s="5">
        <f>+P58/$P$74</f>
        <v>0.20250950147713967</v>
      </c>
    </row>
    <row r="59" spans="2:17" ht="15">
      <c r="B59" s="62" t="s">
        <v>34</v>
      </c>
      <c r="C59" s="36"/>
      <c r="D59" s="63"/>
      <c r="E59" s="64">
        <v>151202.18</v>
      </c>
      <c r="F59" s="64">
        <v>159297.17</v>
      </c>
      <c r="G59" s="64">
        <v>188224.24</v>
      </c>
      <c r="H59" s="64">
        <v>306358.01</v>
      </c>
      <c r="I59" s="64">
        <v>198042.67</v>
      </c>
      <c r="J59" s="64">
        <v>167877.68</v>
      </c>
      <c r="K59" s="64">
        <v>107830.81</v>
      </c>
      <c r="L59" s="64">
        <v>74148.06</v>
      </c>
      <c r="M59" s="64">
        <v>69447.34</v>
      </c>
      <c r="N59" s="64">
        <v>82069.63</v>
      </c>
      <c r="O59" s="64">
        <v>21227.16</v>
      </c>
      <c r="P59" s="4">
        <f t="shared" si="10"/>
        <v>1525724.95</v>
      </c>
      <c r="Q59" s="5">
        <f>+P59/$P$75</f>
        <v>0.2093552680149221</v>
      </c>
    </row>
    <row r="60" spans="2:17" ht="15">
      <c r="B60" s="36"/>
      <c r="C60" s="36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4"/>
      <c r="Q60" s="5"/>
    </row>
    <row r="61" spans="2:17" ht="15">
      <c r="B61" s="62" t="s">
        <v>35</v>
      </c>
      <c r="C61" s="36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4"/>
      <c r="Q61" s="5"/>
    </row>
    <row r="62" spans="2:17" ht="15">
      <c r="B62" s="36" t="s">
        <v>33</v>
      </c>
      <c r="C62" s="36"/>
      <c r="D62" s="63">
        <v>540444.3</v>
      </c>
      <c r="E62" s="64">
        <v>285165.6</v>
      </c>
      <c r="F62" s="64">
        <v>206781.5</v>
      </c>
      <c r="G62" s="64">
        <v>124529.1</v>
      </c>
      <c r="H62" s="64">
        <v>196078.9</v>
      </c>
      <c r="I62" s="64">
        <v>68453.5</v>
      </c>
      <c r="J62" s="64">
        <v>225249.5</v>
      </c>
      <c r="K62" s="64">
        <v>358993.2</v>
      </c>
      <c r="L62" s="64">
        <v>201722</v>
      </c>
      <c r="M62" s="64">
        <v>457550.63</v>
      </c>
      <c r="N62" s="64">
        <v>663020.2</v>
      </c>
      <c r="O62" s="64">
        <v>365468.9</v>
      </c>
      <c r="P62" s="4">
        <f t="shared" si="10"/>
        <v>3693457.3299999996</v>
      </c>
      <c r="Q62" s="5">
        <f>+P62/$P$74</f>
        <v>0.6826504223351988</v>
      </c>
    </row>
    <row r="63" spans="2:17" ht="15">
      <c r="B63" s="62" t="s">
        <v>34</v>
      </c>
      <c r="C63" s="36"/>
      <c r="D63" s="63">
        <v>604274.96</v>
      </c>
      <c r="E63" s="64">
        <v>352955.3</v>
      </c>
      <c r="F63" s="64">
        <v>272484.92</v>
      </c>
      <c r="G63" s="64">
        <v>148541.35</v>
      </c>
      <c r="H63" s="64">
        <v>269538.68</v>
      </c>
      <c r="I63" s="64">
        <v>90138.12</v>
      </c>
      <c r="J63" s="64">
        <v>302770.44</v>
      </c>
      <c r="K63" s="64">
        <v>497701.15</v>
      </c>
      <c r="L63" s="64">
        <v>273875.03</v>
      </c>
      <c r="M63" s="64">
        <v>652852.92</v>
      </c>
      <c r="N63" s="64">
        <v>918185.85</v>
      </c>
      <c r="O63" s="64">
        <v>519088.92</v>
      </c>
      <c r="P63" s="4">
        <f t="shared" si="10"/>
        <v>4902407.64</v>
      </c>
      <c r="Q63" s="5">
        <f>+P63/$P$75</f>
        <v>0.672693243556515</v>
      </c>
    </row>
    <row r="64" spans="2:17" ht="15">
      <c r="B64" s="36"/>
      <c r="C64" s="36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5"/>
    </row>
    <row r="65" spans="2:17" ht="15">
      <c r="B65" s="65" t="s">
        <v>36</v>
      </c>
      <c r="C65" s="36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4"/>
      <c r="Q65" s="5"/>
    </row>
    <row r="66" spans="2:17" ht="15">
      <c r="B66" s="36" t="s">
        <v>33</v>
      </c>
      <c r="C66" s="36"/>
      <c r="D66" s="63">
        <v>11400</v>
      </c>
      <c r="E66" s="64">
        <v>3465</v>
      </c>
      <c r="F66" s="64">
        <v>6974</v>
      </c>
      <c r="G66" s="64">
        <v>2422</v>
      </c>
      <c r="H66" s="64">
        <v>2195</v>
      </c>
      <c r="I66" s="64">
        <v>823</v>
      </c>
      <c r="J66" s="64">
        <v>3604</v>
      </c>
      <c r="K66" s="64">
        <v>60425</v>
      </c>
      <c r="L66" s="64">
        <v>3344</v>
      </c>
      <c r="M66" s="64"/>
      <c r="N66" s="64">
        <v>11363</v>
      </c>
      <c r="O66" s="64">
        <v>4387</v>
      </c>
      <c r="P66" s="4">
        <f t="shared" si="10"/>
        <v>110402</v>
      </c>
      <c r="Q66" s="5">
        <f>+P66/$P$74</f>
        <v>0.0204052640095481</v>
      </c>
    </row>
    <row r="67" spans="2:17" ht="15">
      <c r="B67" s="62" t="s">
        <v>34</v>
      </c>
      <c r="C67" s="36"/>
      <c r="D67" s="63">
        <v>29794.08</v>
      </c>
      <c r="E67" s="64">
        <v>2916.96</v>
      </c>
      <c r="F67" s="64">
        <v>15525.39</v>
      </c>
      <c r="G67" s="64">
        <v>5437.9</v>
      </c>
      <c r="H67" s="64">
        <v>3974.18</v>
      </c>
      <c r="I67" s="64">
        <v>502.13</v>
      </c>
      <c r="J67" s="64">
        <v>4213.41</v>
      </c>
      <c r="K67" s="64">
        <v>117688.41</v>
      </c>
      <c r="L67" s="64">
        <v>4016.19</v>
      </c>
      <c r="M67" s="64"/>
      <c r="N67" s="64">
        <v>31839.15</v>
      </c>
      <c r="O67" s="64">
        <v>7422.61</v>
      </c>
      <c r="P67" s="4">
        <f t="shared" si="10"/>
        <v>223330.41</v>
      </c>
      <c r="Q67" s="5">
        <f>+P67/$P$75</f>
        <v>0.030644709481504148</v>
      </c>
    </row>
    <row r="68" spans="2:17" ht="15">
      <c r="B68" s="36"/>
      <c r="C68" s="36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4"/>
      <c r="Q68" s="5"/>
    </row>
    <row r="69" spans="2:17" ht="15">
      <c r="B69" s="62" t="s">
        <v>37</v>
      </c>
      <c r="C69" s="36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4"/>
      <c r="Q69" s="5"/>
    </row>
    <row r="70" spans="2:17" ht="15">
      <c r="B70" s="36" t="s">
        <v>33</v>
      </c>
      <c r="C70" s="36"/>
      <c r="D70" s="63">
        <v>32070</v>
      </c>
      <c r="E70" s="64"/>
      <c r="F70" s="64">
        <v>9263</v>
      </c>
      <c r="G70" s="64">
        <v>47023</v>
      </c>
      <c r="H70" s="64">
        <v>47048</v>
      </c>
      <c r="I70" s="64">
        <v>105849</v>
      </c>
      <c r="J70" s="64">
        <v>123069</v>
      </c>
      <c r="K70" s="64">
        <v>43146.4</v>
      </c>
      <c r="L70" s="64">
        <v>38913</v>
      </c>
      <c r="M70" s="64">
        <v>6016</v>
      </c>
      <c r="N70" s="64"/>
      <c r="O70" s="64">
        <v>58539</v>
      </c>
      <c r="P70" s="4">
        <f t="shared" si="10"/>
        <v>510936.4</v>
      </c>
      <c r="Q70" s="5">
        <f>+P70/$P$74</f>
        <v>0.09443481217811338</v>
      </c>
    </row>
    <row r="71" spans="2:17" ht="15">
      <c r="B71" s="62" t="s">
        <v>34</v>
      </c>
      <c r="C71" s="36"/>
      <c r="D71" s="63">
        <v>36789.99</v>
      </c>
      <c r="E71" s="64"/>
      <c r="F71" s="64">
        <v>13573.31</v>
      </c>
      <c r="G71" s="64">
        <v>67093.6</v>
      </c>
      <c r="H71" s="64">
        <v>61990.1</v>
      </c>
      <c r="I71" s="64">
        <v>119145.9</v>
      </c>
      <c r="J71" s="64">
        <v>114825.89</v>
      </c>
      <c r="K71" s="64">
        <v>45708.26</v>
      </c>
      <c r="L71" s="64">
        <v>57061.71</v>
      </c>
      <c r="M71" s="64">
        <v>7885.22</v>
      </c>
      <c r="N71" s="64"/>
      <c r="O71" s="64">
        <v>112194.37</v>
      </c>
      <c r="P71" s="4">
        <f t="shared" si="10"/>
        <v>636268.3500000001</v>
      </c>
      <c r="Q71" s="5">
        <f>+P71/$P$75</f>
        <v>0.08730677894705877</v>
      </c>
    </row>
    <row r="72" spans="2:17" ht="15">
      <c r="B72" s="36"/>
      <c r="C72" s="36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4"/>
      <c r="Q72" s="5"/>
    </row>
    <row r="73" spans="2:17" ht="15.75">
      <c r="B73" s="66" t="s">
        <v>28</v>
      </c>
      <c r="C73" s="36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4"/>
      <c r="Q73" s="5"/>
    </row>
    <row r="74" spans="2:17" ht="15.75">
      <c r="B74" s="43" t="s">
        <v>38</v>
      </c>
      <c r="C74" s="67"/>
      <c r="D74" s="68">
        <f>+D58+D62+D66+D70</f>
        <v>583914.3</v>
      </c>
      <c r="E74" s="69">
        <f aca="true" t="shared" si="11" ref="E74:O75">+E58+E62+E66+E70</f>
        <v>405279.6</v>
      </c>
      <c r="F74" s="69">
        <f t="shared" si="11"/>
        <v>331894.7</v>
      </c>
      <c r="G74" s="69">
        <f t="shared" si="11"/>
        <v>324773.55000000005</v>
      </c>
      <c r="H74" s="69">
        <f t="shared" si="11"/>
        <v>415099</v>
      </c>
      <c r="I74" s="69">
        <f t="shared" si="11"/>
        <v>333041.6</v>
      </c>
      <c r="J74" s="69">
        <f t="shared" si="11"/>
        <v>488094.55</v>
      </c>
      <c r="K74" s="69">
        <f t="shared" si="11"/>
        <v>543486.3</v>
      </c>
      <c r="L74" s="69">
        <f t="shared" si="11"/>
        <v>297979.2</v>
      </c>
      <c r="M74" s="69">
        <f t="shared" si="11"/>
        <v>513308.23</v>
      </c>
      <c r="N74" s="69">
        <f t="shared" si="11"/>
        <v>732349.8999999999</v>
      </c>
      <c r="O74" s="69">
        <f t="shared" si="11"/>
        <v>441245.7</v>
      </c>
      <c r="P74" s="70">
        <f>SUM(D74:O74)</f>
        <v>5410466.63</v>
      </c>
      <c r="Q74" s="71">
        <f>+Q58+Q62+Q66+Q70</f>
        <v>0.9999999999999999</v>
      </c>
    </row>
    <row r="75" spans="2:17" ht="15.75">
      <c r="B75" s="43" t="s">
        <v>39</v>
      </c>
      <c r="C75" s="67"/>
      <c r="D75" s="68">
        <f>+D59+D63+D67+D71</f>
        <v>670859.0299999999</v>
      </c>
      <c r="E75" s="69">
        <f t="shared" si="11"/>
        <v>507074.44</v>
      </c>
      <c r="F75" s="69">
        <f t="shared" si="11"/>
        <v>460880.79</v>
      </c>
      <c r="G75" s="69">
        <f t="shared" si="11"/>
        <v>409297.08999999997</v>
      </c>
      <c r="H75" s="69">
        <f t="shared" si="11"/>
        <v>641860.97</v>
      </c>
      <c r="I75" s="69">
        <f t="shared" si="11"/>
        <v>407828.82000000007</v>
      </c>
      <c r="J75" s="69">
        <f t="shared" si="11"/>
        <v>589687.4199999999</v>
      </c>
      <c r="K75" s="69">
        <f t="shared" si="11"/>
        <v>768928.63</v>
      </c>
      <c r="L75" s="69">
        <f t="shared" si="11"/>
        <v>409100.99000000005</v>
      </c>
      <c r="M75" s="69">
        <f t="shared" si="11"/>
        <v>730185.48</v>
      </c>
      <c r="N75" s="69">
        <f t="shared" si="11"/>
        <v>1032094.63</v>
      </c>
      <c r="O75" s="69">
        <f t="shared" si="11"/>
        <v>659933.0599999999</v>
      </c>
      <c r="P75" s="70">
        <f>SUM(D75:O75)</f>
        <v>7287731.35</v>
      </c>
      <c r="Q75" s="71">
        <f>+Q59+Q63+Q67+Q71</f>
        <v>1</v>
      </c>
    </row>
    <row r="76" spans="2:17" ht="15.75" thickBot="1">
      <c r="B76" s="30"/>
      <c r="C76" s="30"/>
      <c r="D76" s="72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21"/>
      <c r="Q76" s="22"/>
    </row>
    <row r="77" ht="15.75" thickTop="1">
      <c r="B77" s="15" t="s">
        <v>40</v>
      </c>
    </row>
    <row r="78" spans="1:18" ht="15">
      <c r="A78" s="15" t="s">
        <v>30</v>
      </c>
      <c r="Q78" s="15"/>
      <c r="R78" s="15" t="s">
        <v>30</v>
      </c>
    </row>
    <row r="93" ht="15">
      <c r="Q93" s="15" t="s">
        <v>30</v>
      </c>
    </row>
  </sheetData>
  <sheetProtection/>
  <printOptions horizontalCentered="1"/>
  <pageMargins left="0.31496062992125984" right="0.31496062992125984" top="0.31496062992125984" bottom="0.31496062992125984" header="0.31496062992125984" footer="0.31496062992125984"/>
  <pageSetup fitToHeight="1" fitToWidth="1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zoomScale="115" zoomScaleNormal="115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2" sqref="H22"/>
    </sheetView>
  </sheetViews>
  <sheetFormatPr defaultColWidth="8.88671875" defaultRowHeight="15"/>
  <cols>
    <col min="1" max="1" width="2.88671875" style="387" customWidth="1"/>
    <col min="2" max="2" width="12.21484375" style="387" customWidth="1"/>
    <col min="3" max="4" width="5.5546875" style="387" customWidth="1"/>
    <col min="5" max="28" width="6.99609375" style="387" customWidth="1"/>
    <col min="29" max="16384" width="8.88671875" style="387" customWidth="1"/>
  </cols>
  <sheetData>
    <row r="1" spans="1:28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2.75">
      <c r="A2" s="157"/>
      <c r="B2" s="157" t="s">
        <v>98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13.5" thickBot="1">
      <c r="A3" s="157"/>
      <c r="B3" s="127" t="s">
        <v>99</v>
      </c>
      <c r="C3" s="127"/>
      <c r="D3" s="127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14.25" thickBot="1" thickTop="1">
      <c r="A4" s="157"/>
      <c r="B4" s="127"/>
      <c r="C4" s="127"/>
      <c r="D4" s="127"/>
      <c r="E4" s="199" t="str">
        <f>E28</f>
        <v>2006Q1</v>
      </c>
      <c r="F4" s="199" t="str">
        <f aca="true" t="shared" si="0" ref="F4:P4">F28</f>
        <v>2006Q2</v>
      </c>
      <c r="G4" s="199" t="str">
        <f t="shared" si="0"/>
        <v>2006Q3</v>
      </c>
      <c r="H4" s="199" t="str">
        <f t="shared" si="0"/>
        <v>2006Q4</v>
      </c>
      <c r="I4" s="199" t="str">
        <f t="shared" si="0"/>
        <v>2007Q1</v>
      </c>
      <c r="J4" s="199" t="str">
        <f t="shared" si="0"/>
        <v>2007Q2</v>
      </c>
      <c r="K4" s="199" t="str">
        <f t="shared" si="0"/>
        <v>2007Q3</v>
      </c>
      <c r="L4" s="199" t="str">
        <f t="shared" si="0"/>
        <v>2007Q4</v>
      </c>
      <c r="M4" s="199" t="str">
        <f t="shared" si="0"/>
        <v>2008Q1</v>
      </c>
      <c r="N4" s="199" t="str">
        <f t="shared" si="0"/>
        <v>2008Q2</v>
      </c>
      <c r="O4" s="199" t="str">
        <f t="shared" si="0"/>
        <v>2008Q3</v>
      </c>
      <c r="P4" s="199" t="str">
        <f t="shared" si="0"/>
        <v>2008Q4</v>
      </c>
      <c r="Q4" s="199" t="str">
        <f aca="true" t="shared" si="1" ref="Q4:X4">Q28</f>
        <v>2009Q1</v>
      </c>
      <c r="R4" s="199" t="str">
        <f t="shared" si="1"/>
        <v>2009Q2</v>
      </c>
      <c r="S4" s="199" t="str">
        <f t="shared" si="1"/>
        <v>2009Q3</v>
      </c>
      <c r="T4" s="199" t="str">
        <f t="shared" si="1"/>
        <v>2009Q4</v>
      </c>
      <c r="U4" s="199" t="str">
        <f t="shared" si="1"/>
        <v>2010Q1</v>
      </c>
      <c r="V4" s="199" t="str">
        <f t="shared" si="1"/>
        <v>2010Q2</v>
      </c>
      <c r="W4" s="199" t="str">
        <f t="shared" si="1"/>
        <v>2010Q3</v>
      </c>
      <c r="X4" s="199" t="str">
        <f t="shared" si="1"/>
        <v>2010Q4</v>
      </c>
      <c r="Y4" s="199" t="str">
        <f>Y28</f>
        <v>2011Q1</v>
      </c>
      <c r="Z4" s="199" t="str">
        <f>Z28</f>
        <v>2011Q2</v>
      </c>
      <c r="AA4" s="199" t="str">
        <f>AA28</f>
        <v>2011Q3</v>
      </c>
      <c r="AB4" s="199" t="str">
        <f>AB28</f>
        <v>2011Q4</v>
      </c>
    </row>
    <row r="5" spans="1:28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1:28" s="388" customFormat="1" ht="12.75">
      <c r="A6" s="157">
        <v>6</v>
      </c>
      <c r="B6" s="157" t="s">
        <v>17</v>
      </c>
      <c r="C6" s="157"/>
      <c r="D6" s="157"/>
      <c r="E6" s="198" t="str">
        <f aca="true" t="shared" si="2" ref="E6:E19">"'"&amp;E$24&amp;"'!"&amp;E$26&amp;$A6&amp;":"&amp;E$27&amp;$A6</f>
        <v>'2006'!C6:E6</v>
      </c>
      <c r="F6" s="198" t="str">
        <f aca="true" t="shared" si="3" ref="F6:U19">"'"&amp;F$24&amp;"'!"&amp;F$26&amp;$A6&amp;":"&amp;F$27&amp;$A6</f>
        <v>'2006'!F6:H6</v>
      </c>
      <c r="G6" s="198" t="str">
        <f t="shared" si="3"/>
        <v>'2006'!I6:K6</v>
      </c>
      <c r="H6" s="198" t="str">
        <f t="shared" si="3"/>
        <v>'2006'!L6:N6</v>
      </c>
      <c r="I6" s="198" t="str">
        <f t="shared" si="3"/>
        <v>'2007'!C6:E6</v>
      </c>
      <c r="J6" s="198" t="str">
        <f t="shared" si="3"/>
        <v>'2007'!F6:H6</v>
      </c>
      <c r="K6" s="198" t="str">
        <f t="shared" si="3"/>
        <v>'2007'!I6:K6</v>
      </c>
      <c r="L6" s="198" t="str">
        <f t="shared" si="3"/>
        <v>'2007'!L6:N6</v>
      </c>
      <c r="M6" s="198" t="str">
        <f t="shared" si="3"/>
        <v>'2008'!C6:E6</v>
      </c>
      <c r="N6" s="198" t="str">
        <f t="shared" si="3"/>
        <v>'2008'!F6:H6</v>
      </c>
      <c r="O6" s="198" t="str">
        <f t="shared" si="3"/>
        <v>'2008'!I6:K6</v>
      </c>
      <c r="P6" s="198" t="str">
        <f t="shared" si="3"/>
        <v>'2008'!L6:N6</v>
      </c>
      <c r="Q6" s="198" t="str">
        <f t="shared" si="3"/>
        <v>'2009'!C6:E6</v>
      </c>
      <c r="R6" s="198" t="str">
        <f t="shared" si="3"/>
        <v>'2009'!F6:H6</v>
      </c>
      <c r="S6" s="198" t="str">
        <f t="shared" si="3"/>
        <v>'2009'!I6:K6</v>
      </c>
      <c r="T6" s="198" t="str">
        <f t="shared" si="3"/>
        <v>'2009'!L6:N6</v>
      </c>
      <c r="U6" s="198" t="str">
        <f t="shared" si="3"/>
        <v>'2010'!C6:E6</v>
      </c>
      <c r="V6" s="198" t="str">
        <f aca="true" t="shared" si="4" ref="Q6:AB19">"'"&amp;V$24&amp;"'!"&amp;V$26&amp;$A6&amp;":"&amp;V$27&amp;$A6</f>
        <v>'2010'!F6:H6</v>
      </c>
      <c r="W6" s="198" t="str">
        <f t="shared" si="4"/>
        <v>'2010'!I6:K6</v>
      </c>
      <c r="X6" s="198" t="str">
        <f t="shared" si="4"/>
        <v>'2010'!L6:N6</v>
      </c>
      <c r="Y6" s="198" t="str">
        <f t="shared" si="4"/>
        <v>'2011'!C6:E6</v>
      </c>
      <c r="Z6" s="198" t="str">
        <f t="shared" si="4"/>
        <v>'2011'!F6:H6</v>
      </c>
      <c r="AA6" s="198" t="str">
        <f t="shared" si="4"/>
        <v>'2011'!I6:K6</v>
      </c>
      <c r="AB6" s="198" t="str">
        <f t="shared" si="4"/>
        <v>'2011'!L6:N6</v>
      </c>
    </row>
    <row r="7" spans="1:28" s="388" customFormat="1" ht="12.75">
      <c r="A7" s="157">
        <v>7</v>
      </c>
      <c r="B7" s="157" t="s">
        <v>18</v>
      </c>
      <c r="C7" s="157"/>
      <c r="D7" s="157"/>
      <c r="E7" s="198" t="str">
        <f t="shared" si="2"/>
        <v>'2006'!C7:E7</v>
      </c>
      <c r="F7" s="198" t="str">
        <f t="shared" si="3"/>
        <v>'2006'!F7:H7</v>
      </c>
      <c r="G7" s="198" t="str">
        <f t="shared" si="3"/>
        <v>'2006'!I7:K7</v>
      </c>
      <c r="H7" s="198" t="str">
        <f t="shared" si="3"/>
        <v>'2006'!L7:N7</v>
      </c>
      <c r="I7" s="198" t="str">
        <f t="shared" si="3"/>
        <v>'2007'!C7:E7</v>
      </c>
      <c r="J7" s="198" t="str">
        <f t="shared" si="3"/>
        <v>'2007'!F7:H7</v>
      </c>
      <c r="K7" s="198" t="str">
        <f t="shared" si="3"/>
        <v>'2007'!I7:K7</v>
      </c>
      <c r="L7" s="198" t="str">
        <f t="shared" si="3"/>
        <v>'2007'!L7:N7</v>
      </c>
      <c r="M7" s="198" t="str">
        <f t="shared" si="3"/>
        <v>'2008'!C7:E7</v>
      </c>
      <c r="N7" s="198" t="str">
        <f t="shared" si="3"/>
        <v>'2008'!F7:H7</v>
      </c>
      <c r="O7" s="198" t="str">
        <f t="shared" si="3"/>
        <v>'2008'!I7:K7</v>
      </c>
      <c r="P7" s="198" t="str">
        <f t="shared" si="3"/>
        <v>'2008'!L7:N7</v>
      </c>
      <c r="Q7" s="198" t="str">
        <f t="shared" si="4"/>
        <v>'2009'!C7:E7</v>
      </c>
      <c r="R7" s="198" t="str">
        <f t="shared" si="4"/>
        <v>'2009'!F7:H7</v>
      </c>
      <c r="S7" s="198" t="str">
        <f t="shared" si="4"/>
        <v>'2009'!I7:K7</v>
      </c>
      <c r="T7" s="198" t="str">
        <f t="shared" si="4"/>
        <v>'2009'!L7:N7</v>
      </c>
      <c r="U7" s="198" t="str">
        <f t="shared" si="4"/>
        <v>'2010'!C7:E7</v>
      </c>
      <c r="V7" s="198" t="str">
        <f t="shared" si="4"/>
        <v>'2010'!F7:H7</v>
      </c>
      <c r="W7" s="198" t="str">
        <f t="shared" si="4"/>
        <v>'2010'!I7:K7</v>
      </c>
      <c r="X7" s="198" t="str">
        <f t="shared" si="4"/>
        <v>'2010'!L7:N7</v>
      </c>
      <c r="Y7" s="198" t="str">
        <f t="shared" si="4"/>
        <v>'2011'!C7:E7</v>
      </c>
      <c r="Z7" s="198" t="str">
        <f t="shared" si="4"/>
        <v>'2011'!F7:H7</v>
      </c>
      <c r="AA7" s="198" t="str">
        <f t="shared" si="4"/>
        <v>'2011'!I7:K7</v>
      </c>
      <c r="AB7" s="198" t="str">
        <f t="shared" si="4"/>
        <v>'2011'!L7:N7</v>
      </c>
    </row>
    <row r="8" spans="1:28" s="388" customFormat="1" ht="12.75">
      <c r="A8" s="157">
        <v>8</v>
      </c>
      <c r="B8" s="157" t="s">
        <v>19</v>
      </c>
      <c r="C8" s="157"/>
      <c r="D8" s="157"/>
      <c r="E8" s="198" t="str">
        <f t="shared" si="2"/>
        <v>'2006'!C8:E8</v>
      </c>
      <c r="F8" s="198" t="str">
        <f t="shared" si="3"/>
        <v>'2006'!F8:H8</v>
      </c>
      <c r="G8" s="198" t="str">
        <f t="shared" si="3"/>
        <v>'2006'!I8:K8</v>
      </c>
      <c r="H8" s="198" t="str">
        <f t="shared" si="3"/>
        <v>'2006'!L8:N8</v>
      </c>
      <c r="I8" s="198" t="str">
        <f t="shared" si="3"/>
        <v>'2007'!C8:E8</v>
      </c>
      <c r="J8" s="198" t="str">
        <f t="shared" si="3"/>
        <v>'2007'!F8:H8</v>
      </c>
      <c r="K8" s="198" t="str">
        <f t="shared" si="3"/>
        <v>'2007'!I8:K8</v>
      </c>
      <c r="L8" s="198" t="str">
        <f t="shared" si="3"/>
        <v>'2007'!L8:N8</v>
      </c>
      <c r="M8" s="198" t="str">
        <f t="shared" si="3"/>
        <v>'2008'!C8:E8</v>
      </c>
      <c r="N8" s="198" t="str">
        <f t="shared" si="3"/>
        <v>'2008'!F8:H8</v>
      </c>
      <c r="O8" s="198" t="str">
        <f t="shared" si="3"/>
        <v>'2008'!I8:K8</v>
      </c>
      <c r="P8" s="198" t="str">
        <f t="shared" si="3"/>
        <v>'2008'!L8:N8</v>
      </c>
      <c r="Q8" s="198" t="str">
        <f t="shared" si="4"/>
        <v>'2009'!C8:E8</v>
      </c>
      <c r="R8" s="198" t="str">
        <f t="shared" si="4"/>
        <v>'2009'!F8:H8</v>
      </c>
      <c r="S8" s="198" t="str">
        <f t="shared" si="4"/>
        <v>'2009'!I8:K8</v>
      </c>
      <c r="T8" s="198" t="str">
        <f t="shared" si="4"/>
        <v>'2009'!L8:N8</v>
      </c>
      <c r="U8" s="198" t="str">
        <f t="shared" si="4"/>
        <v>'2010'!C8:E8</v>
      </c>
      <c r="V8" s="198" t="str">
        <f t="shared" si="4"/>
        <v>'2010'!F8:H8</v>
      </c>
      <c r="W8" s="198" t="str">
        <f t="shared" si="4"/>
        <v>'2010'!I8:K8</v>
      </c>
      <c r="X8" s="198" t="str">
        <f t="shared" si="4"/>
        <v>'2010'!L8:N8</v>
      </c>
      <c r="Y8" s="198" t="str">
        <f t="shared" si="4"/>
        <v>'2011'!C8:E8</v>
      </c>
      <c r="Z8" s="198" t="str">
        <f t="shared" si="4"/>
        <v>'2011'!F8:H8</v>
      </c>
      <c r="AA8" s="198" t="str">
        <f t="shared" si="4"/>
        <v>'2011'!I8:K8</v>
      </c>
      <c r="AB8" s="198" t="str">
        <f t="shared" si="4"/>
        <v>'2011'!L8:N8</v>
      </c>
    </row>
    <row r="9" spans="1:28" s="388" customFormat="1" ht="12.75">
      <c r="A9" s="157">
        <v>9</v>
      </c>
      <c r="B9" s="157" t="s">
        <v>20</v>
      </c>
      <c r="C9" s="157"/>
      <c r="D9" s="157"/>
      <c r="E9" s="198" t="str">
        <f t="shared" si="2"/>
        <v>'2006'!C9:E9</v>
      </c>
      <c r="F9" s="198" t="str">
        <f t="shared" si="3"/>
        <v>'2006'!F9:H9</v>
      </c>
      <c r="G9" s="198" t="str">
        <f t="shared" si="3"/>
        <v>'2006'!I9:K9</v>
      </c>
      <c r="H9" s="198" t="str">
        <f t="shared" si="3"/>
        <v>'2006'!L9:N9</v>
      </c>
      <c r="I9" s="198" t="str">
        <f t="shared" si="3"/>
        <v>'2007'!C9:E9</v>
      </c>
      <c r="J9" s="198" t="str">
        <f t="shared" si="3"/>
        <v>'2007'!F9:H9</v>
      </c>
      <c r="K9" s="198" t="str">
        <f t="shared" si="3"/>
        <v>'2007'!I9:K9</v>
      </c>
      <c r="L9" s="198" t="str">
        <f t="shared" si="3"/>
        <v>'2007'!L9:N9</v>
      </c>
      <c r="M9" s="198" t="str">
        <f t="shared" si="3"/>
        <v>'2008'!C9:E9</v>
      </c>
      <c r="N9" s="198" t="str">
        <f t="shared" si="3"/>
        <v>'2008'!F9:H9</v>
      </c>
      <c r="O9" s="198" t="str">
        <f t="shared" si="3"/>
        <v>'2008'!I9:K9</v>
      </c>
      <c r="P9" s="198" t="str">
        <f t="shared" si="3"/>
        <v>'2008'!L9:N9</v>
      </c>
      <c r="Q9" s="198" t="str">
        <f t="shared" si="4"/>
        <v>'2009'!C9:E9</v>
      </c>
      <c r="R9" s="198" t="str">
        <f t="shared" si="4"/>
        <v>'2009'!F9:H9</v>
      </c>
      <c r="S9" s="198" t="str">
        <f t="shared" si="4"/>
        <v>'2009'!I9:K9</v>
      </c>
      <c r="T9" s="198" t="str">
        <f t="shared" si="4"/>
        <v>'2009'!L9:N9</v>
      </c>
      <c r="U9" s="198" t="str">
        <f t="shared" si="4"/>
        <v>'2010'!C9:E9</v>
      </c>
      <c r="V9" s="198" t="str">
        <f t="shared" si="4"/>
        <v>'2010'!F9:H9</v>
      </c>
      <c r="W9" s="198" t="str">
        <f t="shared" si="4"/>
        <v>'2010'!I9:K9</v>
      </c>
      <c r="X9" s="198" t="str">
        <f t="shared" si="4"/>
        <v>'2010'!L9:N9</v>
      </c>
      <c r="Y9" s="198" t="str">
        <f t="shared" si="4"/>
        <v>'2011'!C9:E9</v>
      </c>
      <c r="Z9" s="198" t="str">
        <f t="shared" si="4"/>
        <v>'2011'!F9:H9</v>
      </c>
      <c r="AA9" s="198" t="str">
        <f t="shared" si="4"/>
        <v>'2011'!I9:K9</v>
      </c>
      <c r="AB9" s="198" t="str">
        <f t="shared" si="4"/>
        <v>'2011'!L9:N9</v>
      </c>
    </row>
    <row r="10" spans="1:28" s="388" customFormat="1" ht="12.75">
      <c r="A10" s="157">
        <v>10</v>
      </c>
      <c r="B10" s="157" t="s">
        <v>21</v>
      </c>
      <c r="C10" s="157"/>
      <c r="D10" s="157"/>
      <c r="E10" s="198" t="str">
        <f t="shared" si="2"/>
        <v>'2006'!C10:E10</v>
      </c>
      <c r="F10" s="198" t="str">
        <f t="shared" si="3"/>
        <v>'2006'!F10:H10</v>
      </c>
      <c r="G10" s="198" t="str">
        <f t="shared" si="3"/>
        <v>'2006'!I10:K10</v>
      </c>
      <c r="H10" s="198" t="str">
        <f t="shared" si="3"/>
        <v>'2006'!L10:N10</v>
      </c>
      <c r="I10" s="198" t="str">
        <f t="shared" si="3"/>
        <v>'2007'!C10:E10</v>
      </c>
      <c r="J10" s="198" t="str">
        <f t="shared" si="3"/>
        <v>'2007'!F10:H10</v>
      </c>
      <c r="K10" s="198" t="str">
        <f t="shared" si="3"/>
        <v>'2007'!I10:K10</v>
      </c>
      <c r="L10" s="198" t="str">
        <f t="shared" si="3"/>
        <v>'2007'!L10:N10</v>
      </c>
      <c r="M10" s="198" t="str">
        <f t="shared" si="3"/>
        <v>'2008'!C10:E10</v>
      </c>
      <c r="N10" s="198" t="str">
        <f t="shared" si="3"/>
        <v>'2008'!F10:H10</v>
      </c>
      <c r="O10" s="198" t="str">
        <f t="shared" si="3"/>
        <v>'2008'!I10:K10</v>
      </c>
      <c r="P10" s="198" t="str">
        <f t="shared" si="3"/>
        <v>'2008'!L10:N10</v>
      </c>
      <c r="Q10" s="198" t="str">
        <f t="shared" si="4"/>
        <v>'2009'!C10:E10</v>
      </c>
      <c r="R10" s="198" t="str">
        <f t="shared" si="4"/>
        <v>'2009'!F10:H10</v>
      </c>
      <c r="S10" s="198" t="str">
        <f t="shared" si="4"/>
        <v>'2009'!I10:K10</v>
      </c>
      <c r="T10" s="198" t="str">
        <f t="shared" si="4"/>
        <v>'2009'!L10:N10</v>
      </c>
      <c r="U10" s="198" t="str">
        <f t="shared" si="4"/>
        <v>'2010'!C10:E10</v>
      </c>
      <c r="V10" s="198" t="str">
        <f t="shared" si="4"/>
        <v>'2010'!F10:H10</v>
      </c>
      <c r="W10" s="198" t="str">
        <f t="shared" si="4"/>
        <v>'2010'!I10:K10</v>
      </c>
      <c r="X10" s="198" t="str">
        <f t="shared" si="4"/>
        <v>'2010'!L10:N10</v>
      </c>
      <c r="Y10" s="198" t="str">
        <f t="shared" si="4"/>
        <v>'2011'!C10:E10</v>
      </c>
      <c r="Z10" s="198" t="str">
        <f t="shared" si="4"/>
        <v>'2011'!F10:H10</v>
      </c>
      <c r="AA10" s="198" t="str">
        <f t="shared" si="4"/>
        <v>'2011'!I10:K10</v>
      </c>
      <c r="AB10" s="198" t="str">
        <f t="shared" si="4"/>
        <v>'2011'!L10:N10</v>
      </c>
    </row>
    <row r="11" spans="1:28" s="388" customFormat="1" ht="12.75">
      <c r="A11" s="157">
        <v>11</v>
      </c>
      <c r="B11" s="157" t="s">
        <v>22</v>
      </c>
      <c r="C11" s="157"/>
      <c r="D11" s="157"/>
      <c r="E11" s="198" t="str">
        <f t="shared" si="2"/>
        <v>'2006'!C11:E11</v>
      </c>
      <c r="F11" s="198" t="str">
        <f t="shared" si="3"/>
        <v>'2006'!F11:H11</v>
      </c>
      <c r="G11" s="198" t="str">
        <f t="shared" si="3"/>
        <v>'2006'!I11:K11</v>
      </c>
      <c r="H11" s="198" t="str">
        <f t="shared" si="3"/>
        <v>'2006'!L11:N11</v>
      </c>
      <c r="I11" s="198" t="str">
        <f t="shared" si="3"/>
        <v>'2007'!C11:E11</v>
      </c>
      <c r="J11" s="198" t="str">
        <f t="shared" si="3"/>
        <v>'2007'!F11:H11</v>
      </c>
      <c r="K11" s="198" t="str">
        <f t="shared" si="3"/>
        <v>'2007'!I11:K11</v>
      </c>
      <c r="L11" s="198" t="str">
        <f t="shared" si="3"/>
        <v>'2007'!L11:N11</v>
      </c>
      <c r="M11" s="198" t="str">
        <f t="shared" si="3"/>
        <v>'2008'!C11:E11</v>
      </c>
      <c r="N11" s="198" t="str">
        <f t="shared" si="3"/>
        <v>'2008'!F11:H11</v>
      </c>
      <c r="O11" s="198" t="str">
        <f t="shared" si="3"/>
        <v>'2008'!I11:K11</v>
      </c>
      <c r="P11" s="198" t="str">
        <f t="shared" si="3"/>
        <v>'2008'!L11:N11</v>
      </c>
      <c r="Q11" s="198" t="str">
        <f t="shared" si="4"/>
        <v>'2009'!C11:E11</v>
      </c>
      <c r="R11" s="198" t="str">
        <f t="shared" si="4"/>
        <v>'2009'!F11:H11</v>
      </c>
      <c r="S11" s="198" t="str">
        <f t="shared" si="4"/>
        <v>'2009'!I11:K11</v>
      </c>
      <c r="T11" s="198" t="str">
        <f t="shared" si="4"/>
        <v>'2009'!L11:N11</v>
      </c>
      <c r="U11" s="198" t="str">
        <f t="shared" si="4"/>
        <v>'2010'!C11:E11</v>
      </c>
      <c r="V11" s="198" t="str">
        <f t="shared" si="4"/>
        <v>'2010'!F11:H11</v>
      </c>
      <c r="W11" s="198" t="str">
        <f t="shared" si="4"/>
        <v>'2010'!I11:K11</v>
      </c>
      <c r="X11" s="198" t="str">
        <f t="shared" si="4"/>
        <v>'2010'!L11:N11</v>
      </c>
      <c r="Y11" s="198" t="str">
        <f t="shared" si="4"/>
        <v>'2011'!C11:E11</v>
      </c>
      <c r="Z11" s="198" t="str">
        <f t="shared" si="4"/>
        <v>'2011'!F11:H11</v>
      </c>
      <c r="AA11" s="198" t="str">
        <f t="shared" si="4"/>
        <v>'2011'!I11:K11</v>
      </c>
      <c r="AB11" s="198" t="str">
        <f t="shared" si="4"/>
        <v>'2011'!L11:N11</v>
      </c>
    </row>
    <row r="12" spans="1:28" s="388" customFormat="1" ht="12.75">
      <c r="A12" s="157">
        <v>12</v>
      </c>
      <c r="B12" s="157" t="s">
        <v>23</v>
      </c>
      <c r="C12" s="157"/>
      <c r="D12" s="157"/>
      <c r="E12" s="198" t="str">
        <f t="shared" si="2"/>
        <v>'2006'!C12:E12</v>
      </c>
      <c r="F12" s="198" t="str">
        <f t="shared" si="3"/>
        <v>'2006'!F12:H12</v>
      </c>
      <c r="G12" s="198" t="str">
        <f t="shared" si="3"/>
        <v>'2006'!I12:K12</v>
      </c>
      <c r="H12" s="198" t="str">
        <f t="shared" si="3"/>
        <v>'2006'!L12:N12</v>
      </c>
      <c r="I12" s="198" t="str">
        <f t="shared" si="3"/>
        <v>'2007'!C12:E12</v>
      </c>
      <c r="J12" s="198" t="str">
        <f t="shared" si="3"/>
        <v>'2007'!F12:H12</v>
      </c>
      <c r="K12" s="198" t="str">
        <f t="shared" si="3"/>
        <v>'2007'!I12:K12</v>
      </c>
      <c r="L12" s="198" t="str">
        <f t="shared" si="3"/>
        <v>'2007'!L12:N12</v>
      </c>
      <c r="M12" s="198" t="str">
        <f t="shared" si="3"/>
        <v>'2008'!C12:E12</v>
      </c>
      <c r="N12" s="198" t="str">
        <f t="shared" si="3"/>
        <v>'2008'!F12:H12</v>
      </c>
      <c r="O12" s="198" t="str">
        <f t="shared" si="3"/>
        <v>'2008'!I12:K12</v>
      </c>
      <c r="P12" s="198" t="str">
        <f t="shared" si="3"/>
        <v>'2008'!L12:N12</v>
      </c>
      <c r="Q12" s="198" t="str">
        <f t="shared" si="4"/>
        <v>'2009'!C12:E12</v>
      </c>
      <c r="R12" s="198" t="str">
        <f t="shared" si="4"/>
        <v>'2009'!F12:H12</v>
      </c>
      <c r="S12" s="198" t="str">
        <f t="shared" si="4"/>
        <v>'2009'!I12:K12</v>
      </c>
      <c r="T12" s="198" t="str">
        <f t="shared" si="4"/>
        <v>'2009'!L12:N12</v>
      </c>
      <c r="U12" s="198" t="str">
        <f t="shared" si="4"/>
        <v>'2010'!C12:E12</v>
      </c>
      <c r="V12" s="198" t="str">
        <f t="shared" si="4"/>
        <v>'2010'!F12:H12</v>
      </c>
      <c r="W12" s="198" t="str">
        <f t="shared" si="4"/>
        <v>'2010'!I12:K12</v>
      </c>
      <c r="X12" s="198" t="str">
        <f t="shared" si="4"/>
        <v>'2010'!L12:N12</v>
      </c>
      <c r="Y12" s="198" t="str">
        <f t="shared" si="4"/>
        <v>'2011'!C12:E12</v>
      </c>
      <c r="Z12" s="198" t="str">
        <f t="shared" si="4"/>
        <v>'2011'!F12:H12</v>
      </c>
      <c r="AA12" s="198" t="str">
        <f t="shared" si="4"/>
        <v>'2011'!I12:K12</v>
      </c>
      <c r="AB12" s="198" t="str">
        <f t="shared" si="4"/>
        <v>'2011'!L12:N12</v>
      </c>
    </row>
    <row r="13" spans="1:28" s="388" customFormat="1" ht="12.75">
      <c r="A13" s="157">
        <v>13</v>
      </c>
      <c r="B13" s="157" t="s">
        <v>24</v>
      </c>
      <c r="C13" s="157"/>
      <c r="D13" s="157"/>
      <c r="E13" s="198" t="str">
        <f t="shared" si="2"/>
        <v>'2006'!C13:E13</v>
      </c>
      <c r="F13" s="198" t="str">
        <f t="shared" si="3"/>
        <v>'2006'!F13:H13</v>
      </c>
      <c r="G13" s="198" t="str">
        <f t="shared" si="3"/>
        <v>'2006'!I13:K13</v>
      </c>
      <c r="H13" s="198" t="str">
        <f t="shared" si="3"/>
        <v>'2006'!L13:N13</v>
      </c>
      <c r="I13" s="198" t="str">
        <f t="shared" si="3"/>
        <v>'2007'!C13:E13</v>
      </c>
      <c r="J13" s="198" t="str">
        <f t="shared" si="3"/>
        <v>'2007'!F13:H13</v>
      </c>
      <c r="K13" s="198" t="str">
        <f t="shared" si="3"/>
        <v>'2007'!I13:K13</v>
      </c>
      <c r="L13" s="198" t="str">
        <f t="shared" si="3"/>
        <v>'2007'!L13:N13</v>
      </c>
      <c r="M13" s="198" t="str">
        <f t="shared" si="3"/>
        <v>'2008'!C13:E13</v>
      </c>
      <c r="N13" s="198" t="str">
        <f t="shared" si="3"/>
        <v>'2008'!F13:H13</v>
      </c>
      <c r="O13" s="198" t="str">
        <f t="shared" si="3"/>
        <v>'2008'!I13:K13</v>
      </c>
      <c r="P13" s="198" t="str">
        <f t="shared" si="3"/>
        <v>'2008'!L13:N13</v>
      </c>
      <c r="Q13" s="198" t="str">
        <f t="shared" si="4"/>
        <v>'2009'!C13:E13</v>
      </c>
      <c r="R13" s="198" t="str">
        <f t="shared" si="4"/>
        <v>'2009'!F13:H13</v>
      </c>
      <c r="S13" s="198" t="str">
        <f t="shared" si="4"/>
        <v>'2009'!I13:K13</v>
      </c>
      <c r="T13" s="198" t="str">
        <f t="shared" si="4"/>
        <v>'2009'!L13:N13</v>
      </c>
      <c r="U13" s="198" t="str">
        <f t="shared" si="4"/>
        <v>'2010'!C13:E13</v>
      </c>
      <c r="V13" s="198" t="str">
        <f t="shared" si="4"/>
        <v>'2010'!F13:H13</v>
      </c>
      <c r="W13" s="198" t="str">
        <f t="shared" si="4"/>
        <v>'2010'!I13:K13</v>
      </c>
      <c r="X13" s="198" t="str">
        <f t="shared" si="4"/>
        <v>'2010'!L13:N13</v>
      </c>
      <c r="Y13" s="198" t="str">
        <f t="shared" si="4"/>
        <v>'2011'!C13:E13</v>
      </c>
      <c r="Z13" s="198" t="str">
        <f t="shared" si="4"/>
        <v>'2011'!F13:H13</v>
      </c>
      <c r="AA13" s="198" t="str">
        <f t="shared" si="4"/>
        <v>'2011'!I13:K13</v>
      </c>
      <c r="AB13" s="198" t="str">
        <f t="shared" si="4"/>
        <v>'2011'!L13:N13</v>
      </c>
    </row>
    <row r="14" spans="1:28" s="388" customFormat="1" ht="12.75">
      <c r="A14" s="157">
        <v>14</v>
      </c>
      <c r="B14" s="157" t="s">
        <v>25</v>
      </c>
      <c r="C14" s="157"/>
      <c r="D14" s="157"/>
      <c r="E14" s="198" t="str">
        <f t="shared" si="2"/>
        <v>'2006'!C14:E14</v>
      </c>
      <c r="F14" s="198" t="str">
        <f t="shared" si="3"/>
        <v>'2006'!F14:H14</v>
      </c>
      <c r="G14" s="198" t="str">
        <f t="shared" si="3"/>
        <v>'2006'!I14:K14</v>
      </c>
      <c r="H14" s="198" t="str">
        <f t="shared" si="3"/>
        <v>'2006'!L14:N14</v>
      </c>
      <c r="I14" s="198" t="str">
        <f t="shared" si="3"/>
        <v>'2007'!C14:E14</v>
      </c>
      <c r="J14" s="198" t="str">
        <f t="shared" si="3"/>
        <v>'2007'!F14:H14</v>
      </c>
      <c r="K14" s="198" t="str">
        <f t="shared" si="3"/>
        <v>'2007'!I14:K14</v>
      </c>
      <c r="L14" s="198" t="str">
        <f t="shared" si="3"/>
        <v>'2007'!L14:N14</v>
      </c>
      <c r="M14" s="198" t="str">
        <f t="shared" si="3"/>
        <v>'2008'!C14:E14</v>
      </c>
      <c r="N14" s="198" t="str">
        <f t="shared" si="3"/>
        <v>'2008'!F14:H14</v>
      </c>
      <c r="O14" s="198" t="str">
        <f t="shared" si="3"/>
        <v>'2008'!I14:K14</v>
      </c>
      <c r="P14" s="198" t="str">
        <f t="shared" si="3"/>
        <v>'2008'!L14:N14</v>
      </c>
      <c r="Q14" s="198" t="str">
        <f t="shared" si="4"/>
        <v>'2009'!C14:E14</v>
      </c>
      <c r="R14" s="198" t="str">
        <f t="shared" si="4"/>
        <v>'2009'!F14:H14</v>
      </c>
      <c r="S14" s="198" t="str">
        <f t="shared" si="4"/>
        <v>'2009'!I14:K14</v>
      </c>
      <c r="T14" s="198" t="str">
        <f t="shared" si="4"/>
        <v>'2009'!L14:N14</v>
      </c>
      <c r="U14" s="198" t="str">
        <f t="shared" si="4"/>
        <v>'2010'!C14:E14</v>
      </c>
      <c r="V14" s="198" t="str">
        <f t="shared" si="4"/>
        <v>'2010'!F14:H14</v>
      </c>
      <c r="W14" s="198" t="str">
        <f t="shared" si="4"/>
        <v>'2010'!I14:K14</v>
      </c>
      <c r="X14" s="198" t="str">
        <f t="shared" si="4"/>
        <v>'2010'!L14:N14</v>
      </c>
      <c r="Y14" s="198" t="str">
        <f t="shared" si="4"/>
        <v>'2011'!C14:E14</v>
      </c>
      <c r="Z14" s="198" t="str">
        <f t="shared" si="4"/>
        <v>'2011'!F14:H14</v>
      </c>
      <c r="AA14" s="198" t="str">
        <f t="shared" si="4"/>
        <v>'2011'!I14:K14</v>
      </c>
      <c r="AB14" s="198" t="str">
        <f t="shared" si="4"/>
        <v>'2011'!L14:N14</v>
      </c>
    </row>
    <row r="15" spans="1:256" s="389" customFormat="1" ht="12.75">
      <c r="A15" s="157">
        <v>15</v>
      </c>
      <c r="B15" s="347" t="s">
        <v>103</v>
      </c>
      <c r="C15" s="347"/>
      <c r="D15" s="347"/>
      <c r="E15" s="198" t="str">
        <f t="shared" si="2"/>
        <v>'2006'!C15:E15</v>
      </c>
      <c r="F15" s="198" t="str">
        <f t="shared" si="3"/>
        <v>'2006'!F15:H15</v>
      </c>
      <c r="G15" s="198" t="str">
        <f t="shared" si="3"/>
        <v>'2006'!I15:K15</v>
      </c>
      <c r="H15" s="198" t="str">
        <f t="shared" si="3"/>
        <v>'2006'!L15:N15</v>
      </c>
      <c r="I15" s="198" t="str">
        <f t="shared" si="3"/>
        <v>'2007'!C15:E15</v>
      </c>
      <c r="J15" s="198" t="str">
        <f t="shared" si="3"/>
        <v>'2007'!F15:H15</v>
      </c>
      <c r="K15" s="198" t="str">
        <f t="shared" si="3"/>
        <v>'2007'!I15:K15</v>
      </c>
      <c r="L15" s="198" t="str">
        <f t="shared" si="3"/>
        <v>'2007'!L15:N15</v>
      </c>
      <c r="M15" s="198" t="str">
        <f t="shared" si="3"/>
        <v>'2008'!C15:E15</v>
      </c>
      <c r="N15" s="198" t="str">
        <f t="shared" si="3"/>
        <v>'2008'!F15:H15</v>
      </c>
      <c r="O15" s="198" t="str">
        <f t="shared" si="3"/>
        <v>'2008'!I15:K15</v>
      </c>
      <c r="P15" s="198" t="str">
        <f t="shared" si="3"/>
        <v>'2008'!L15:N15</v>
      </c>
      <c r="Q15" s="198" t="str">
        <f t="shared" si="4"/>
        <v>'2009'!C15:E15</v>
      </c>
      <c r="R15" s="198" t="str">
        <f t="shared" si="4"/>
        <v>'2009'!F15:H15</v>
      </c>
      <c r="S15" s="198" t="str">
        <f t="shared" si="4"/>
        <v>'2009'!I15:K15</v>
      </c>
      <c r="T15" s="198" t="str">
        <f t="shared" si="4"/>
        <v>'2009'!L15:N15</v>
      </c>
      <c r="U15" s="198" t="str">
        <f t="shared" si="4"/>
        <v>'2010'!C15:E15</v>
      </c>
      <c r="V15" s="198" t="str">
        <f t="shared" si="4"/>
        <v>'2010'!F15:H15</v>
      </c>
      <c r="W15" s="198" t="str">
        <f t="shared" si="4"/>
        <v>'2010'!I15:K15</v>
      </c>
      <c r="X15" s="198" t="str">
        <f t="shared" si="4"/>
        <v>'2010'!L15:N15</v>
      </c>
      <c r="Y15" s="198" t="str">
        <f t="shared" si="4"/>
        <v>'2011'!C15:E15</v>
      </c>
      <c r="Z15" s="198" t="str">
        <f t="shared" si="4"/>
        <v>'2011'!F15:H15</v>
      </c>
      <c r="AA15" s="198" t="str">
        <f t="shared" si="4"/>
        <v>'2011'!I15:K15</v>
      </c>
      <c r="AB15" s="198" t="str">
        <f t="shared" si="4"/>
        <v>'2011'!L15:N15</v>
      </c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  <c r="FP15" s="388"/>
      <c r="FQ15" s="388"/>
      <c r="FR15" s="388"/>
      <c r="FS15" s="388"/>
      <c r="FT15" s="388"/>
      <c r="FU15" s="388"/>
      <c r="FV15" s="388"/>
      <c r="FW15" s="388"/>
      <c r="FX15" s="388"/>
      <c r="FY15" s="388"/>
      <c r="FZ15" s="388"/>
      <c r="GA15" s="388"/>
      <c r="GB15" s="388"/>
      <c r="GC15" s="388"/>
      <c r="GD15" s="388"/>
      <c r="GE15" s="388"/>
      <c r="GF15" s="388"/>
      <c r="GG15" s="388"/>
      <c r="GH15" s="388"/>
      <c r="GI15" s="388"/>
      <c r="GJ15" s="388"/>
      <c r="GK15" s="388"/>
      <c r="GL15" s="388"/>
      <c r="GM15" s="388"/>
      <c r="GN15" s="388"/>
      <c r="GO15" s="388"/>
      <c r="GP15" s="388"/>
      <c r="GQ15" s="388"/>
      <c r="GR15" s="388"/>
      <c r="GS15" s="388"/>
      <c r="GT15" s="388"/>
      <c r="GU15" s="388"/>
      <c r="GV15" s="388"/>
      <c r="GW15" s="388"/>
      <c r="GX15" s="388"/>
      <c r="GY15" s="388"/>
      <c r="GZ15" s="388"/>
      <c r="HA15" s="388"/>
      <c r="HB15" s="388"/>
      <c r="HC15" s="388"/>
      <c r="HD15" s="388"/>
      <c r="HE15" s="388"/>
      <c r="HF15" s="388"/>
      <c r="HG15" s="388"/>
      <c r="HH15" s="388"/>
      <c r="HI15" s="388"/>
      <c r="HJ15" s="388"/>
      <c r="HK15" s="388"/>
      <c r="HL15" s="388"/>
      <c r="HM15" s="388"/>
      <c r="HN15" s="388"/>
      <c r="HO15" s="388"/>
      <c r="HP15" s="388"/>
      <c r="HQ15" s="388"/>
      <c r="HR15" s="388"/>
      <c r="HS15" s="388"/>
      <c r="HT15" s="388"/>
      <c r="HU15" s="388"/>
      <c r="HV15" s="388"/>
      <c r="HW15" s="388"/>
      <c r="HX15" s="388"/>
      <c r="HY15" s="388"/>
      <c r="HZ15" s="388"/>
      <c r="IA15" s="388"/>
      <c r="IB15" s="388"/>
      <c r="IC15" s="388"/>
      <c r="ID15" s="388"/>
      <c r="IE15" s="388"/>
      <c r="IF15" s="388"/>
      <c r="IG15" s="388"/>
      <c r="IH15" s="388"/>
      <c r="II15" s="388"/>
      <c r="IJ15" s="388"/>
      <c r="IK15" s="388"/>
      <c r="IL15" s="388"/>
      <c r="IM15" s="388"/>
      <c r="IN15" s="388"/>
      <c r="IO15" s="388"/>
      <c r="IP15" s="388"/>
      <c r="IQ15" s="388"/>
      <c r="IR15" s="388"/>
      <c r="IS15" s="388"/>
      <c r="IT15" s="388"/>
      <c r="IU15" s="388"/>
      <c r="IV15" s="388"/>
    </row>
    <row r="16" spans="1:256" s="389" customFormat="1" ht="12.75">
      <c r="A16" s="157">
        <v>16</v>
      </c>
      <c r="B16" s="310"/>
      <c r="C16" s="310"/>
      <c r="D16" s="310"/>
      <c r="E16" s="198" t="str">
        <f t="shared" si="2"/>
        <v>'2006'!C16:E16</v>
      </c>
      <c r="F16" s="198" t="str">
        <f t="shared" si="3"/>
        <v>'2006'!F16:H16</v>
      </c>
      <c r="G16" s="198" t="str">
        <f t="shared" si="3"/>
        <v>'2006'!I16:K16</v>
      </c>
      <c r="H16" s="198" t="str">
        <f t="shared" si="3"/>
        <v>'2006'!L16:N16</v>
      </c>
      <c r="I16" s="198" t="str">
        <f t="shared" si="3"/>
        <v>'2007'!C16:E16</v>
      </c>
      <c r="J16" s="198" t="str">
        <f t="shared" si="3"/>
        <v>'2007'!F16:H16</v>
      </c>
      <c r="K16" s="198" t="str">
        <f t="shared" si="3"/>
        <v>'2007'!I16:K16</v>
      </c>
      <c r="L16" s="198" t="str">
        <f t="shared" si="3"/>
        <v>'2007'!L16:N16</v>
      </c>
      <c r="M16" s="198" t="str">
        <f t="shared" si="3"/>
        <v>'2008'!C16:E16</v>
      </c>
      <c r="N16" s="198" t="str">
        <f t="shared" si="3"/>
        <v>'2008'!F16:H16</v>
      </c>
      <c r="O16" s="198" t="str">
        <f t="shared" si="3"/>
        <v>'2008'!I16:K16</v>
      </c>
      <c r="P16" s="198" t="str">
        <f t="shared" si="3"/>
        <v>'2008'!L16:N16</v>
      </c>
      <c r="Q16" s="198" t="str">
        <f t="shared" si="4"/>
        <v>'2009'!C16:E16</v>
      </c>
      <c r="R16" s="198" t="str">
        <f t="shared" si="4"/>
        <v>'2009'!F16:H16</v>
      </c>
      <c r="S16" s="198" t="str">
        <f t="shared" si="4"/>
        <v>'2009'!I16:K16</v>
      </c>
      <c r="T16" s="198" t="str">
        <f t="shared" si="4"/>
        <v>'2009'!L16:N16</v>
      </c>
      <c r="U16" s="198" t="str">
        <f t="shared" si="4"/>
        <v>'2010'!C16:E16</v>
      </c>
      <c r="V16" s="198" t="str">
        <f t="shared" si="4"/>
        <v>'2010'!F16:H16</v>
      </c>
      <c r="W16" s="198" t="str">
        <f t="shared" si="4"/>
        <v>'2010'!I16:K16</v>
      </c>
      <c r="X16" s="198" t="str">
        <f t="shared" si="4"/>
        <v>'2010'!L16:N16</v>
      </c>
      <c r="Y16" s="198" t="str">
        <f t="shared" si="4"/>
        <v>'2011'!C16:E16</v>
      </c>
      <c r="Z16" s="198" t="str">
        <f t="shared" si="4"/>
        <v>'2011'!F16:H16</v>
      </c>
      <c r="AA16" s="198" t="str">
        <f t="shared" si="4"/>
        <v>'2011'!I16:K16</v>
      </c>
      <c r="AB16" s="198" t="str">
        <f t="shared" si="4"/>
        <v>'2011'!L16:N16</v>
      </c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  <c r="FP16" s="388"/>
      <c r="FQ16" s="388"/>
      <c r="FR16" s="388"/>
      <c r="FS16" s="388"/>
      <c r="FT16" s="388"/>
      <c r="FU16" s="388"/>
      <c r="FV16" s="388"/>
      <c r="FW16" s="388"/>
      <c r="FX16" s="388"/>
      <c r="FY16" s="388"/>
      <c r="FZ16" s="388"/>
      <c r="GA16" s="388"/>
      <c r="GB16" s="388"/>
      <c r="GC16" s="388"/>
      <c r="GD16" s="388"/>
      <c r="GE16" s="388"/>
      <c r="GF16" s="388"/>
      <c r="GG16" s="388"/>
      <c r="GH16" s="388"/>
      <c r="GI16" s="388"/>
      <c r="GJ16" s="388"/>
      <c r="GK16" s="388"/>
      <c r="GL16" s="388"/>
      <c r="GM16" s="388"/>
      <c r="GN16" s="388"/>
      <c r="GO16" s="388"/>
      <c r="GP16" s="388"/>
      <c r="GQ16" s="388"/>
      <c r="GR16" s="388"/>
      <c r="GS16" s="388"/>
      <c r="GT16" s="388"/>
      <c r="GU16" s="388"/>
      <c r="GV16" s="388"/>
      <c r="GW16" s="388"/>
      <c r="GX16" s="388"/>
      <c r="GY16" s="388"/>
      <c r="GZ16" s="388"/>
      <c r="HA16" s="388"/>
      <c r="HB16" s="388"/>
      <c r="HC16" s="388"/>
      <c r="HD16" s="388"/>
      <c r="HE16" s="388"/>
      <c r="HF16" s="388"/>
      <c r="HG16" s="388"/>
      <c r="HH16" s="388"/>
      <c r="HI16" s="388"/>
      <c r="HJ16" s="388"/>
      <c r="HK16" s="388"/>
      <c r="HL16" s="388"/>
      <c r="HM16" s="388"/>
      <c r="HN16" s="388"/>
      <c r="HO16" s="388"/>
      <c r="HP16" s="388"/>
      <c r="HQ16" s="388"/>
      <c r="HR16" s="388"/>
      <c r="HS16" s="388"/>
      <c r="HT16" s="388"/>
      <c r="HU16" s="388"/>
      <c r="HV16" s="388"/>
      <c r="HW16" s="388"/>
      <c r="HX16" s="388"/>
      <c r="HY16" s="388"/>
      <c r="HZ16" s="388"/>
      <c r="IA16" s="388"/>
      <c r="IB16" s="388"/>
      <c r="IC16" s="388"/>
      <c r="ID16" s="388"/>
      <c r="IE16" s="388"/>
      <c r="IF16" s="388"/>
      <c r="IG16" s="388"/>
      <c r="IH16" s="388"/>
      <c r="II16" s="388"/>
      <c r="IJ16" s="388"/>
      <c r="IK16" s="388"/>
      <c r="IL16" s="388"/>
      <c r="IM16" s="388"/>
      <c r="IN16" s="388"/>
      <c r="IO16" s="388"/>
      <c r="IP16" s="388"/>
      <c r="IQ16" s="388"/>
      <c r="IR16" s="388"/>
      <c r="IS16" s="388"/>
      <c r="IT16" s="388"/>
      <c r="IU16" s="388"/>
      <c r="IV16" s="388"/>
    </row>
    <row r="17" spans="1:28" s="388" customFormat="1" ht="12.75">
      <c r="A17" s="157">
        <v>17</v>
      </c>
      <c r="B17" s="157" t="s">
        <v>27</v>
      </c>
      <c r="C17" s="157"/>
      <c r="D17" s="157"/>
      <c r="E17" s="198" t="str">
        <f t="shared" si="2"/>
        <v>'2006'!C17:E17</v>
      </c>
      <c r="F17" s="198" t="str">
        <f t="shared" si="3"/>
        <v>'2006'!F17:H17</v>
      </c>
      <c r="G17" s="198" t="str">
        <f t="shared" si="3"/>
        <v>'2006'!I17:K17</v>
      </c>
      <c r="H17" s="198" t="str">
        <f t="shared" si="3"/>
        <v>'2006'!L17:N17</v>
      </c>
      <c r="I17" s="198" t="str">
        <f t="shared" si="3"/>
        <v>'2007'!C17:E17</v>
      </c>
      <c r="J17" s="198" t="str">
        <f t="shared" si="3"/>
        <v>'2007'!F17:H17</v>
      </c>
      <c r="K17" s="198" t="str">
        <f t="shared" si="3"/>
        <v>'2007'!I17:K17</v>
      </c>
      <c r="L17" s="198" t="str">
        <f t="shared" si="3"/>
        <v>'2007'!L17:N17</v>
      </c>
      <c r="M17" s="198" t="str">
        <f t="shared" si="3"/>
        <v>'2008'!C17:E17</v>
      </c>
      <c r="N17" s="198" t="str">
        <f t="shared" si="3"/>
        <v>'2008'!F17:H17</v>
      </c>
      <c r="O17" s="198" t="str">
        <f t="shared" si="3"/>
        <v>'2008'!I17:K17</v>
      </c>
      <c r="P17" s="198" t="str">
        <f t="shared" si="3"/>
        <v>'2008'!L17:N17</v>
      </c>
      <c r="Q17" s="198" t="str">
        <f t="shared" si="4"/>
        <v>'2009'!C17:E17</v>
      </c>
      <c r="R17" s="198" t="str">
        <f t="shared" si="4"/>
        <v>'2009'!F17:H17</v>
      </c>
      <c r="S17" s="198" t="str">
        <f t="shared" si="4"/>
        <v>'2009'!I17:K17</v>
      </c>
      <c r="T17" s="198" t="str">
        <f t="shared" si="4"/>
        <v>'2009'!L17:N17</v>
      </c>
      <c r="U17" s="198" t="str">
        <f t="shared" si="4"/>
        <v>'2010'!C17:E17</v>
      </c>
      <c r="V17" s="198" t="str">
        <f t="shared" si="4"/>
        <v>'2010'!F17:H17</v>
      </c>
      <c r="W17" s="198" t="str">
        <f t="shared" si="4"/>
        <v>'2010'!I17:K17</v>
      </c>
      <c r="X17" s="198" t="str">
        <f t="shared" si="4"/>
        <v>'2010'!L17:N17</v>
      </c>
      <c r="Y17" s="198" t="str">
        <f t="shared" si="4"/>
        <v>'2011'!C17:E17</v>
      </c>
      <c r="Z17" s="198" t="str">
        <f t="shared" si="4"/>
        <v>'2011'!F17:H17</v>
      </c>
      <c r="AA17" s="198" t="str">
        <f t="shared" si="4"/>
        <v>'2011'!I17:K17</v>
      </c>
      <c r="AB17" s="198" t="str">
        <f t="shared" si="4"/>
        <v>'2011'!L17:N17</v>
      </c>
    </row>
    <row r="18" spans="1:28" s="388" customFormat="1" ht="12.75">
      <c r="A18" s="157">
        <v>18</v>
      </c>
      <c r="B18" s="204" t="s">
        <v>104</v>
      </c>
      <c r="C18" s="157"/>
      <c r="D18" s="157"/>
      <c r="E18" s="198" t="str">
        <f t="shared" si="2"/>
        <v>'2006'!C18:E18</v>
      </c>
      <c r="F18" s="198" t="str">
        <f t="shared" si="3"/>
        <v>'2006'!F18:H18</v>
      </c>
      <c r="G18" s="198" t="str">
        <f t="shared" si="3"/>
        <v>'2006'!I18:K18</v>
      </c>
      <c r="H18" s="198" t="str">
        <f t="shared" si="3"/>
        <v>'2006'!L18:N18</v>
      </c>
      <c r="I18" s="198" t="str">
        <f t="shared" si="3"/>
        <v>'2007'!C18:E18</v>
      </c>
      <c r="J18" s="198" t="str">
        <f t="shared" si="3"/>
        <v>'2007'!F18:H18</v>
      </c>
      <c r="K18" s="198" t="str">
        <f t="shared" si="3"/>
        <v>'2007'!I18:K18</v>
      </c>
      <c r="L18" s="198" t="str">
        <f t="shared" si="3"/>
        <v>'2007'!L18:N18</v>
      </c>
      <c r="M18" s="198" t="str">
        <f t="shared" si="3"/>
        <v>'2008'!C18:E18</v>
      </c>
      <c r="N18" s="198" t="str">
        <f t="shared" si="3"/>
        <v>'2008'!F18:H18</v>
      </c>
      <c r="O18" s="198" t="str">
        <f t="shared" si="3"/>
        <v>'2008'!I18:K18</v>
      </c>
      <c r="P18" s="198" t="str">
        <f t="shared" si="3"/>
        <v>'2008'!L18:N18</v>
      </c>
      <c r="Q18" s="198" t="str">
        <f t="shared" si="4"/>
        <v>'2009'!C18:E18</v>
      </c>
      <c r="R18" s="198" t="str">
        <f t="shared" si="4"/>
        <v>'2009'!F18:H18</v>
      </c>
      <c r="S18" s="198" t="str">
        <f t="shared" si="4"/>
        <v>'2009'!I18:K18</v>
      </c>
      <c r="T18" s="198" t="str">
        <f t="shared" si="4"/>
        <v>'2009'!L18:N18</v>
      </c>
      <c r="U18" s="198" t="str">
        <f t="shared" si="4"/>
        <v>'2010'!C18:E18</v>
      </c>
      <c r="V18" s="198" t="str">
        <f t="shared" si="4"/>
        <v>'2010'!F18:H18</v>
      </c>
      <c r="W18" s="198" t="str">
        <f t="shared" si="4"/>
        <v>'2010'!I18:K18</v>
      </c>
      <c r="X18" s="198" t="str">
        <f t="shared" si="4"/>
        <v>'2010'!L18:N18</v>
      </c>
      <c r="Y18" s="198" t="str">
        <f t="shared" si="4"/>
        <v>'2011'!C18:E18</v>
      </c>
      <c r="Z18" s="198" t="str">
        <f t="shared" si="4"/>
        <v>'2011'!F18:H18</v>
      </c>
      <c r="AA18" s="198" t="str">
        <f t="shared" si="4"/>
        <v>'2011'!I18:K18</v>
      </c>
      <c r="AB18" s="198" t="str">
        <f t="shared" si="4"/>
        <v>'2011'!L18:N18</v>
      </c>
    </row>
    <row r="19" spans="1:28" s="388" customFormat="1" ht="12.75">
      <c r="A19" s="157">
        <v>19</v>
      </c>
      <c r="B19" s="196" t="s">
        <v>28</v>
      </c>
      <c r="C19" s="196"/>
      <c r="D19" s="196"/>
      <c r="E19" s="198" t="str">
        <f t="shared" si="2"/>
        <v>'2006'!C19:E19</v>
      </c>
      <c r="F19" s="198" t="str">
        <f t="shared" si="3"/>
        <v>'2006'!F19:H19</v>
      </c>
      <c r="G19" s="198" t="str">
        <f t="shared" si="3"/>
        <v>'2006'!I19:K19</v>
      </c>
      <c r="H19" s="198" t="str">
        <f t="shared" si="3"/>
        <v>'2006'!L19:N19</v>
      </c>
      <c r="I19" s="198" t="str">
        <f t="shared" si="3"/>
        <v>'2007'!C19:E19</v>
      </c>
      <c r="J19" s="198" t="str">
        <f t="shared" si="3"/>
        <v>'2007'!F19:H19</v>
      </c>
      <c r="K19" s="198" t="str">
        <f t="shared" si="3"/>
        <v>'2007'!I19:K19</v>
      </c>
      <c r="L19" s="198" t="str">
        <f t="shared" si="3"/>
        <v>'2007'!L19:N19</v>
      </c>
      <c r="M19" s="198" t="str">
        <f t="shared" si="3"/>
        <v>'2008'!C19:E19</v>
      </c>
      <c r="N19" s="198" t="str">
        <f t="shared" si="3"/>
        <v>'2008'!F19:H19</v>
      </c>
      <c r="O19" s="198" t="str">
        <f t="shared" si="3"/>
        <v>'2008'!I19:K19</v>
      </c>
      <c r="P19" s="198" t="str">
        <f t="shared" si="3"/>
        <v>'2008'!L19:N19</v>
      </c>
      <c r="Q19" s="198" t="str">
        <f t="shared" si="4"/>
        <v>'2009'!C19:E19</v>
      </c>
      <c r="R19" s="198" t="str">
        <f t="shared" si="4"/>
        <v>'2009'!F19:H19</v>
      </c>
      <c r="S19" s="198" t="str">
        <f t="shared" si="4"/>
        <v>'2009'!I19:K19</v>
      </c>
      <c r="T19" s="198" t="str">
        <f t="shared" si="4"/>
        <v>'2009'!L19:N19</v>
      </c>
      <c r="U19" s="198" t="str">
        <f t="shared" si="4"/>
        <v>'2010'!C19:E19</v>
      </c>
      <c r="V19" s="198" t="str">
        <f t="shared" si="4"/>
        <v>'2010'!F19:H19</v>
      </c>
      <c r="W19" s="198" t="str">
        <f t="shared" si="4"/>
        <v>'2010'!I19:K19</v>
      </c>
      <c r="X19" s="198" t="str">
        <f t="shared" si="4"/>
        <v>'2010'!L19:N19</v>
      </c>
      <c r="Y19" s="198" t="str">
        <f t="shared" si="4"/>
        <v>'2011'!C19:E19</v>
      </c>
      <c r="Z19" s="198" t="str">
        <f t="shared" si="4"/>
        <v>'2011'!F19:H19</v>
      </c>
      <c r="AA19" s="198" t="str">
        <f t="shared" si="4"/>
        <v>'2011'!I19:K19</v>
      </c>
      <c r="AB19" s="198" t="str">
        <f t="shared" si="4"/>
        <v>'2011'!L19:N19</v>
      </c>
    </row>
    <row r="20" spans="1:28" s="388" customFormat="1" ht="12.75">
      <c r="A20" s="157"/>
      <c r="B20" s="197"/>
      <c r="C20" s="197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</row>
    <row r="21" spans="1:28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</row>
    <row r="22" spans="1:28" ht="13.5" thickTop="1">
      <c r="A22" s="157"/>
      <c r="B22" s="201">
        <f ca="1">NOW()</f>
        <v>40948.65149502315</v>
      </c>
      <c r="C22" s="201"/>
      <c r="D22" s="201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</row>
    <row r="23" spans="1:28" ht="12.75">
      <c r="A23" s="202" t="s">
        <v>30</v>
      </c>
      <c r="B23" s="203" t="s">
        <v>97</v>
      </c>
      <c r="C23" s="203"/>
      <c r="D23" s="203"/>
      <c r="E23" s="204"/>
      <c r="F23" s="204"/>
      <c r="G23" s="204"/>
      <c r="H23" s="204"/>
      <c r="I23" s="204"/>
      <c r="J23" s="204"/>
      <c r="K23" s="204" t="e">
        <f aca="true" t="shared" si="5" ref="K23:P23">SUM(K6:K14)+K17-K19</f>
        <v>#VALUE!</v>
      </c>
      <c r="L23" s="204" t="e">
        <f t="shared" si="5"/>
        <v>#VALUE!</v>
      </c>
      <c r="M23" s="204" t="e">
        <f t="shared" si="5"/>
        <v>#VALUE!</v>
      </c>
      <c r="N23" s="204" t="e">
        <f t="shared" si="5"/>
        <v>#VALUE!</v>
      </c>
      <c r="O23" s="204" t="e">
        <f t="shared" si="5"/>
        <v>#VALUE!</v>
      </c>
      <c r="P23" s="204" t="e">
        <f t="shared" si="5"/>
        <v>#VALUE!</v>
      </c>
      <c r="Q23" s="204" t="e">
        <f aca="true" t="shared" si="6" ref="Q23:X23">SUM(Q6:Q14)+Q17-Q19</f>
        <v>#VALUE!</v>
      </c>
      <c r="R23" s="204" t="e">
        <f t="shared" si="6"/>
        <v>#VALUE!</v>
      </c>
      <c r="S23" s="204" t="e">
        <f t="shared" si="6"/>
        <v>#VALUE!</v>
      </c>
      <c r="T23" s="204" t="e">
        <f t="shared" si="6"/>
        <v>#VALUE!</v>
      </c>
      <c r="U23" s="204" t="e">
        <f t="shared" si="6"/>
        <v>#VALUE!</v>
      </c>
      <c r="V23" s="204" t="e">
        <f t="shared" si="6"/>
        <v>#VALUE!</v>
      </c>
      <c r="W23" s="204" t="e">
        <f t="shared" si="6"/>
        <v>#VALUE!</v>
      </c>
      <c r="X23" s="204" t="e">
        <f t="shared" si="6"/>
        <v>#VALUE!</v>
      </c>
      <c r="Y23" s="204" t="e">
        <f>SUM(Y6:Y14)+Y17-Y19</f>
        <v>#VALUE!</v>
      </c>
      <c r="Z23" s="204" t="e">
        <f>SUM(Z6:Z14)+Z17-Z19</f>
        <v>#VALUE!</v>
      </c>
      <c r="AA23" s="204" t="e">
        <f>SUM(AA6:AA14)+AA17-AA19</f>
        <v>#VALUE!</v>
      </c>
      <c r="AB23" s="204" t="e">
        <f>SUM(AB6:AB14)+AB17-AB19</f>
        <v>#VALUE!</v>
      </c>
    </row>
    <row r="24" spans="1:28" ht="12.75">
      <c r="A24" s="157"/>
      <c r="B24" s="157"/>
      <c r="C24" s="157"/>
      <c r="D24" s="157"/>
      <c r="E24" s="285">
        <v>2006</v>
      </c>
      <c r="F24" s="285">
        <v>2006</v>
      </c>
      <c r="G24" s="285">
        <v>2006</v>
      </c>
      <c r="H24" s="285">
        <v>2006</v>
      </c>
      <c r="I24" s="285">
        <f aca="true" t="shared" si="7" ref="I24:P24">E24+1</f>
        <v>2007</v>
      </c>
      <c r="J24" s="285">
        <f t="shared" si="7"/>
        <v>2007</v>
      </c>
      <c r="K24" s="285">
        <f t="shared" si="7"/>
        <v>2007</v>
      </c>
      <c r="L24" s="285">
        <f t="shared" si="7"/>
        <v>2007</v>
      </c>
      <c r="M24" s="285">
        <f t="shared" si="7"/>
        <v>2008</v>
      </c>
      <c r="N24" s="285">
        <f t="shared" si="7"/>
        <v>2008</v>
      </c>
      <c r="O24" s="285">
        <f t="shared" si="7"/>
        <v>2008</v>
      </c>
      <c r="P24" s="285">
        <f t="shared" si="7"/>
        <v>2008</v>
      </c>
      <c r="Q24" s="285">
        <f aca="true" t="shared" si="8" ref="Q24:Y24">M24+1</f>
        <v>2009</v>
      </c>
      <c r="R24" s="285">
        <f t="shared" si="8"/>
        <v>2009</v>
      </c>
      <c r="S24" s="285">
        <f t="shared" si="8"/>
        <v>2009</v>
      </c>
      <c r="T24" s="285">
        <f t="shared" si="8"/>
        <v>2009</v>
      </c>
      <c r="U24" s="285">
        <f t="shared" si="8"/>
        <v>2010</v>
      </c>
      <c r="V24" s="285">
        <f t="shared" si="8"/>
        <v>2010</v>
      </c>
      <c r="W24" s="285">
        <f t="shared" si="8"/>
        <v>2010</v>
      </c>
      <c r="X24" s="285">
        <f t="shared" si="8"/>
        <v>2010</v>
      </c>
      <c r="Y24" s="285">
        <f t="shared" si="8"/>
        <v>2011</v>
      </c>
      <c r="Z24" s="285">
        <f>V24+1</f>
        <v>2011</v>
      </c>
      <c r="AA24" s="285">
        <f>W24+1</f>
        <v>2011</v>
      </c>
      <c r="AB24" s="285">
        <f>X24+1</f>
        <v>2011</v>
      </c>
    </row>
    <row r="25" spans="1:28" ht="13.5" thickBot="1">
      <c r="A25" s="157"/>
      <c r="B25" s="205" t="s">
        <v>100</v>
      </c>
      <c r="C25" s="205"/>
      <c r="D25" s="205"/>
      <c r="E25" s="390" t="s">
        <v>167</v>
      </c>
      <c r="F25" s="390" t="s">
        <v>168</v>
      </c>
      <c r="G25" s="390" t="s">
        <v>169</v>
      </c>
      <c r="H25" s="390" t="s">
        <v>170</v>
      </c>
      <c r="I25" s="390" t="str">
        <f aca="true" t="shared" si="9" ref="I25:N27">E25</f>
        <v>Q1</v>
      </c>
      <c r="J25" s="390" t="str">
        <f t="shared" si="9"/>
        <v>Q2</v>
      </c>
      <c r="K25" s="390" t="str">
        <f t="shared" si="9"/>
        <v>Q3</v>
      </c>
      <c r="L25" s="390" t="str">
        <f t="shared" si="9"/>
        <v>Q4</v>
      </c>
      <c r="M25" s="390" t="str">
        <f t="shared" si="9"/>
        <v>Q1</v>
      </c>
      <c r="N25" s="390" t="str">
        <f aca="true" t="shared" si="10" ref="N25:Y25">J25</f>
        <v>Q2</v>
      </c>
      <c r="O25" s="390" t="str">
        <f t="shared" si="10"/>
        <v>Q3</v>
      </c>
      <c r="P25" s="390" t="str">
        <f t="shared" si="10"/>
        <v>Q4</v>
      </c>
      <c r="Q25" s="390" t="str">
        <f t="shared" si="10"/>
        <v>Q1</v>
      </c>
      <c r="R25" s="390" t="str">
        <f t="shared" si="10"/>
        <v>Q2</v>
      </c>
      <c r="S25" s="390" t="str">
        <f t="shared" si="10"/>
        <v>Q3</v>
      </c>
      <c r="T25" s="390" t="str">
        <f t="shared" si="10"/>
        <v>Q4</v>
      </c>
      <c r="U25" s="390" t="str">
        <f t="shared" si="10"/>
        <v>Q1</v>
      </c>
      <c r="V25" s="390" t="str">
        <f t="shared" si="10"/>
        <v>Q2</v>
      </c>
      <c r="W25" s="390" t="str">
        <f t="shared" si="10"/>
        <v>Q3</v>
      </c>
      <c r="X25" s="390" t="str">
        <f t="shared" si="10"/>
        <v>Q4</v>
      </c>
      <c r="Y25" s="390" t="str">
        <f t="shared" si="10"/>
        <v>Q1</v>
      </c>
      <c r="Z25" s="390" t="str">
        <f>V25</f>
        <v>Q2</v>
      </c>
      <c r="AA25" s="390" t="str">
        <f aca="true" t="shared" si="11" ref="AA25:AB27">W25</f>
        <v>Q3</v>
      </c>
      <c r="AB25" s="390" t="str">
        <f t="shared" si="11"/>
        <v>Q4</v>
      </c>
    </row>
    <row r="26" spans="1:28" ht="14.25" thickBot="1" thickTop="1">
      <c r="A26" s="157"/>
      <c r="B26" s="205"/>
      <c r="C26" s="205"/>
      <c r="D26" s="205"/>
      <c r="E26" s="390" t="s">
        <v>171</v>
      </c>
      <c r="F26" s="390" t="s">
        <v>173</v>
      </c>
      <c r="G26" s="390" t="s">
        <v>175</v>
      </c>
      <c r="H26" s="390" t="s">
        <v>177</v>
      </c>
      <c r="I26" s="390" t="str">
        <f t="shared" si="9"/>
        <v>C</v>
      </c>
      <c r="J26" s="390" t="str">
        <f t="shared" si="9"/>
        <v>F</v>
      </c>
      <c r="K26" s="390" t="str">
        <f t="shared" si="9"/>
        <v>I</v>
      </c>
      <c r="L26" s="390" t="str">
        <f t="shared" si="9"/>
        <v>L</v>
      </c>
      <c r="M26" s="390" t="str">
        <f t="shared" si="9"/>
        <v>C</v>
      </c>
      <c r="N26" s="390" t="str">
        <f t="shared" si="9"/>
        <v>F</v>
      </c>
      <c r="O26" s="390" t="str">
        <f aca="true" t="shared" si="12" ref="O26:Y27">K26</f>
        <v>I</v>
      </c>
      <c r="P26" s="390" t="str">
        <f t="shared" si="12"/>
        <v>L</v>
      </c>
      <c r="Q26" s="390" t="str">
        <f t="shared" si="12"/>
        <v>C</v>
      </c>
      <c r="R26" s="390" t="str">
        <f t="shared" si="12"/>
        <v>F</v>
      </c>
      <c r="S26" s="390" t="str">
        <f t="shared" si="12"/>
        <v>I</v>
      </c>
      <c r="T26" s="390" t="str">
        <f t="shared" si="12"/>
        <v>L</v>
      </c>
      <c r="U26" s="390" t="str">
        <f t="shared" si="12"/>
        <v>C</v>
      </c>
      <c r="V26" s="390" t="str">
        <f t="shared" si="12"/>
        <v>F</v>
      </c>
      <c r="W26" s="390" t="str">
        <f t="shared" si="12"/>
        <v>I</v>
      </c>
      <c r="X26" s="390" t="str">
        <f t="shared" si="12"/>
        <v>L</v>
      </c>
      <c r="Y26" s="390" t="str">
        <f t="shared" si="12"/>
        <v>C</v>
      </c>
      <c r="Z26" s="390" t="str">
        <f>V26</f>
        <v>F</v>
      </c>
      <c r="AA26" s="390" t="str">
        <f t="shared" si="11"/>
        <v>I</v>
      </c>
      <c r="AB26" s="390" t="str">
        <f t="shared" si="11"/>
        <v>L</v>
      </c>
    </row>
    <row r="27" spans="1:28" ht="14.25" thickBot="1" thickTop="1">
      <c r="A27" s="157"/>
      <c r="B27" s="205"/>
      <c r="C27" s="205"/>
      <c r="D27" s="205"/>
      <c r="E27" s="390" t="s">
        <v>172</v>
      </c>
      <c r="F27" s="390" t="s">
        <v>174</v>
      </c>
      <c r="G27" s="390" t="s">
        <v>176</v>
      </c>
      <c r="H27" s="390" t="s">
        <v>178</v>
      </c>
      <c r="I27" s="390" t="str">
        <f t="shared" si="9"/>
        <v>E</v>
      </c>
      <c r="J27" s="390" t="str">
        <f t="shared" si="9"/>
        <v>H</v>
      </c>
      <c r="K27" s="390" t="str">
        <f t="shared" si="9"/>
        <v>K</v>
      </c>
      <c r="L27" s="390" t="str">
        <f t="shared" si="9"/>
        <v>N</v>
      </c>
      <c r="M27" s="390" t="str">
        <f t="shared" si="9"/>
        <v>E</v>
      </c>
      <c r="N27" s="390" t="str">
        <f t="shared" si="9"/>
        <v>H</v>
      </c>
      <c r="O27" s="390" t="str">
        <f t="shared" si="12"/>
        <v>K</v>
      </c>
      <c r="P27" s="390" t="str">
        <f t="shared" si="12"/>
        <v>N</v>
      </c>
      <c r="Q27" s="390" t="str">
        <f t="shared" si="12"/>
        <v>E</v>
      </c>
      <c r="R27" s="390" t="str">
        <f t="shared" si="12"/>
        <v>H</v>
      </c>
      <c r="S27" s="390" t="str">
        <f t="shared" si="12"/>
        <v>K</v>
      </c>
      <c r="T27" s="390" t="str">
        <f t="shared" si="12"/>
        <v>N</v>
      </c>
      <c r="U27" s="390" t="str">
        <f t="shared" si="12"/>
        <v>E</v>
      </c>
      <c r="V27" s="390" t="str">
        <f t="shared" si="12"/>
        <v>H</v>
      </c>
      <c r="W27" s="390" t="str">
        <f t="shared" si="12"/>
        <v>K</v>
      </c>
      <c r="X27" s="390" t="str">
        <f t="shared" si="12"/>
        <v>N</v>
      </c>
      <c r="Y27" s="390" t="str">
        <f t="shared" si="12"/>
        <v>E</v>
      </c>
      <c r="Z27" s="390" t="str">
        <f>V27</f>
        <v>H</v>
      </c>
      <c r="AA27" s="390" t="str">
        <f t="shared" si="11"/>
        <v>K</v>
      </c>
      <c r="AB27" s="390" t="str">
        <f t="shared" si="11"/>
        <v>N</v>
      </c>
    </row>
    <row r="28" spans="1:28" ht="14.25" thickBot="1" thickTop="1">
      <c r="A28" s="157"/>
      <c r="B28" s="127"/>
      <c r="C28" s="127"/>
      <c r="D28" s="127"/>
      <c r="E28" s="199" t="str">
        <f aca="true" t="shared" si="13" ref="E28:P28">E24&amp;E25</f>
        <v>2006Q1</v>
      </c>
      <c r="F28" s="199" t="str">
        <f t="shared" si="13"/>
        <v>2006Q2</v>
      </c>
      <c r="G28" s="199" t="str">
        <f t="shared" si="13"/>
        <v>2006Q3</v>
      </c>
      <c r="H28" s="199" t="str">
        <f t="shared" si="13"/>
        <v>2006Q4</v>
      </c>
      <c r="I28" s="199" t="str">
        <f t="shared" si="13"/>
        <v>2007Q1</v>
      </c>
      <c r="J28" s="199" t="str">
        <f t="shared" si="13"/>
        <v>2007Q2</v>
      </c>
      <c r="K28" s="199" t="str">
        <f t="shared" si="13"/>
        <v>2007Q3</v>
      </c>
      <c r="L28" s="199" t="str">
        <f t="shared" si="13"/>
        <v>2007Q4</v>
      </c>
      <c r="M28" s="199" t="str">
        <f t="shared" si="13"/>
        <v>2008Q1</v>
      </c>
      <c r="N28" s="199" t="str">
        <f t="shared" si="13"/>
        <v>2008Q2</v>
      </c>
      <c r="O28" s="199" t="str">
        <f t="shared" si="13"/>
        <v>2008Q3</v>
      </c>
      <c r="P28" s="199" t="str">
        <f t="shared" si="13"/>
        <v>2008Q4</v>
      </c>
      <c r="Q28" s="199" t="str">
        <f aca="true" t="shared" si="14" ref="Q28:X28">Q24&amp;Q25</f>
        <v>2009Q1</v>
      </c>
      <c r="R28" s="199" t="str">
        <f t="shared" si="14"/>
        <v>2009Q2</v>
      </c>
      <c r="S28" s="199" t="str">
        <f t="shared" si="14"/>
        <v>2009Q3</v>
      </c>
      <c r="T28" s="199" t="str">
        <f t="shared" si="14"/>
        <v>2009Q4</v>
      </c>
      <c r="U28" s="199" t="str">
        <f t="shared" si="14"/>
        <v>2010Q1</v>
      </c>
      <c r="V28" s="199" t="str">
        <f t="shared" si="14"/>
        <v>2010Q2</v>
      </c>
      <c r="W28" s="199" t="str">
        <f t="shared" si="14"/>
        <v>2010Q3</v>
      </c>
      <c r="X28" s="199" t="str">
        <f t="shared" si="14"/>
        <v>2010Q4</v>
      </c>
      <c r="Y28" s="199" t="str">
        <f>Y24&amp;Y25</f>
        <v>2011Q1</v>
      </c>
      <c r="Z28" s="199" t="str">
        <f>Z24&amp;Z25</f>
        <v>2011Q2</v>
      </c>
      <c r="AA28" s="199" t="str">
        <f>AA24&amp;AA25</f>
        <v>2011Q3</v>
      </c>
      <c r="AB28" s="199" t="str">
        <f>AB24&amp;AB25</f>
        <v>2011Q4</v>
      </c>
    </row>
    <row r="29" spans="1:28" s="388" customFormat="1" ht="13.5" thickTop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0" spans="1:28" s="388" customFormat="1" ht="12.75">
      <c r="A30" s="157">
        <v>30</v>
      </c>
      <c r="B30" s="157" t="s">
        <v>17</v>
      </c>
      <c r="C30" s="157"/>
      <c r="D30" s="157"/>
      <c r="E30" s="198" t="str">
        <f aca="true" t="shared" si="15" ref="E30:U39">"'"&amp;E$24&amp;"'!"&amp;E$26&amp;$A30&amp;":"&amp;E$27&amp;$A30</f>
        <v>'2006'!C30:E30</v>
      </c>
      <c r="F30" s="198" t="str">
        <f t="shared" si="15"/>
        <v>'2006'!F30:H30</v>
      </c>
      <c r="G30" s="198" t="str">
        <f t="shared" si="15"/>
        <v>'2006'!I30:K30</v>
      </c>
      <c r="H30" s="198" t="str">
        <f t="shared" si="15"/>
        <v>'2006'!L30:N30</v>
      </c>
      <c r="I30" s="198" t="str">
        <f t="shared" si="15"/>
        <v>'2007'!C30:E30</v>
      </c>
      <c r="J30" s="198" t="str">
        <f t="shared" si="15"/>
        <v>'2007'!F30:H30</v>
      </c>
      <c r="K30" s="198" t="str">
        <f t="shared" si="15"/>
        <v>'2007'!I30:K30</v>
      </c>
      <c r="L30" s="198" t="str">
        <f t="shared" si="15"/>
        <v>'2007'!L30:N30</v>
      </c>
      <c r="M30" s="198" t="str">
        <f t="shared" si="15"/>
        <v>'2008'!C30:E30</v>
      </c>
      <c r="N30" s="198" t="str">
        <f t="shared" si="15"/>
        <v>'2008'!F30:H30</v>
      </c>
      <c r="O30" s="198" t="str">
        <f t="shared" si="15"/>
        <v>'2008'!I30:K30</v>
      </c>
      <c r="P30" s="198" t="str">
        <f t="shared" si="15"/>
        <v>'2008'!L30:N30</v>
      </c>
      <c r="Q30" s="198" t="str">
        <f t="shared" si="15"/>
        <v>'2009'!C30:E30</v>
      </c>
      <c r="R30" s="198" t="str">
        <f t="shared" si="15"/>
        <v>'2009'!F30:H30</v>
      </c>
      <c r="S30" s="198" t="str">
        <f t="shared" si="15"/>
        <v>'2009'!I30:K30</v>
      </c>
      <c r="T30" s="198" t="str">
        <f t="shared" si="15"/>
        <v>'2009'!L30:N30</v>
      </c>
      <c r="U30" s="198" t="str">
        <f t="shared" si="15"/>
        <v>'2010'!C30:E30</v>
      </c>
      <c r="V30" s="198" t="str">
        <f aca="true" t="shared" si="16" ref="Q30:AB45">"'"&amp;V$24&amp;"'!"&amp;V$26&amp;$A30&amp;":"&amp;V$27&amp;$A30</f>
        <v>'2010'!F30:H30</v>
      </c>
      <c r="W30" s="198" t="str">
        <f t="shared" si="16"/>
        <v>'2010'!I30:K30</v>
      </c>
      <c r="X30" s="198" t="str">
        <f t="shared" si="16"/>
        <v>'2010'!L30:N30</v>
      </c>
      <c r="Y30" s="198" t="str">
        <f t="shared" si="16"/>
        <v>'2011'!C30:E30</v>
      </c>
      <c r="Z30" s="198" t="str">
        <f t="shared" si="16"/>
        <v>'2011'!F30:H30</v>
      </c>
      <c r="AA30" s="198" t="str">
        <f t="shared" si="16"/>
        <v>'2011'!I30:K30</v>
      </c>
      <c r="AB30" s="198" t="str">
        <f t="shared" si="16"/>
        <v>'2011'!L30:N30</v>
      </c>
    </row>
    <row r="31" spans="1:28" s="388" customFormat="1" ht="12.75">
      <c r="A31" s="157">
        <v>31</v>
      </c>
      <c r="B31" s="157" t="s">
        <v>18</v>
      </c>
      <c r="C31" s="157"/>
      <c r="D31" s="157"/>
      <c r="E31" s="198" t="str">
        <f t="shared" si="15"/>
        <v>'2006'!C31:E31</v>
      </c>
      <c r="F31" s="198" t="str">
        <f t="shared" si="15"/>
        <v>'2006'!F31:H31</v>
      </c>
      <c r="G31" s="198" t="str">
        <f t="shared" si="15"/>
        <v>'2006'!I31:K31</v>
      </c>
      <c r="H31" s="198" t="str">
        <f t="shared" si="15"/>
        <v>'2006'!L31:N31</v>
      </c>
      <c r="I31" s="198" t="str">
        <f t="shared" si="15"/>
        <v>'2007'!C31:E31</v>
      </c>
      <c r="J31" s="198" t="str">
        <f t="shared" si="15"/>
        <v>'2007'!F31:H31</v>
      </c>
      <c r="K31" s="198" t="str">
        <f t="shared" si="15"/>
        <v>'2007'!I31:K31</v>
      </c>
      <c r="L31" s="198" t="str">
        <f t="shared" si="15"/>
        <v>'2007'!L31:N31</v>
      </c>
      <c r="M31" s="198" t="str">
        <f t="shared" si="15"/>
        <v>'2008'!C31:E31</v>
      </c>
      <c r="N31" s="198" t="str">
        <f t="shared" si="15"/>
        <v>'2008'!F31:H31</v>
      </c>
      <c r="O31" s="198" t="str">
        <f t="shared" si="15"/>
        <v>'2008'!I31:K31</v>
      </c>
      <c r="P31" s="198" t="str">
        <f t="shared" si="15"/>
        <v>'2008'!L31:N31</v>
      </c>
      <c r="Q31" s="198" t="str">
        <f t="shared" si="16"/>
        <v>'2009'!C31:E31</v>
      </c>
      <c r="R31" s="198" t="str">
        <f t="shared" si="16"/>
        <v>'2009'!F31:H31</v>
      </c>
      <c r="S31" s="198" t="str">
        <f t="shared" si="16"/>
        <v>'2009'!I31:K31</v>
      </c>
      <c r="T31" s="198" t="str">
        <f t="shared" si="16"/>
        <v>'2009'!L31:N31</v>
      </c>
      <c r="U31" s="198" t="str">
        <f t="shared" si="16"/>
        <v>'2010'!C31:E31</v>
      </c>
      <c r="V31" s="198" t="str">
        <f t="shared" si="16"/>
        <v>'2010'!F31:H31</v>
      </c>
      <c r="W31" s="198" t="str">
        <f t="shared" si="16"/>
        <v>'2010'!I31:K31</v>
      </c>
      <c r="X31" s="198" t="str">
        <f t="shared" si="16"/>
        <v>'2010'!L31:N31</v>
      </c>
      <c r="Y31" s="198" t="str">
        <f t="shared" si="16"/>
        <v>'2011'!C31:E31</v>
      </c>
      <c r="Z31" s="198" t="str">
        <f t="shared" si="16"/>
        <v>'2011'!F31:H31</v>
      </c>
      <c r="AA31" s="198" t="str">
        <f t="shared" si="16"/>
        <v>'2011'!I31:K31</v>
      </c>
      <c r="AB31" s="198" t="str">
        <f t="shared" si="16"/>
        <v>'2011'!L31:N31</v>
      </c>
    </row>
    <row r="32" spans="1:28" s="388" customFormat="1" ht="12.75">
      <c r="A32" s="157">
        <v>32</v>
      </c>
      <c r="B32" s="157" t="s">
        <v>19</v>
      </c>
      <c r="C32" s="157"/>
      <c r="D32" s="157"/>
      <c r="E32" s="198" t="str">
        <f t="shared" si="15"/>
        <v>'2006'!C32:E32</v>
      </c>
      <c r="F32" s="198" t="str">
        <f t="shared" si="15"/>
        <v>'2006'!F32:H32</v>
      </c>
      <c r="G32" s="198" t="str">
        <f t="shared" si="15"/>
        <v>'2006'!I32:K32</v>
      </c>
      <c r="H32" s="198" t="str">
        <f t="shared" si="15"/>
        <v>'2006'!L32:N32</v>
      </c>
      <c r="I32" s="198" t="str">
        <f t="shared" si="15"/>
        <v>'2007'!C32:E32</v>
      </c>
      <c r="J32" s="198" t="str">
        <f t="shared" si="15"/>
        <v>'2007'!F32:H32</v>
      </c>
      <c r="K32" s="198" t="str">
        <f t="shared" si="15"/>
        <v>'2007'!I32:K32</v>
      </c>
      <c r="L32" s="198" t="str">
        <f t="shared" si="15"/>
        <v>'2007'!L32:N32</v>
      </c>
      <c r="M32" s="198" t="str">
        <f t="shared" si="15"/>
        <v>'2008'!C32:E32</v>
      </c>
      <c r="N32" s="198" t="str">
        <f t="shared" si="15"/>
        <v>'2008'!F32:H32</v>
      </c>
      <c r="O32" s="198" t="str">
        <f t="shared" si="15"/>
        <v>'2008'!I32:K32</v>
      </c>
      <c r="P32" s="198" t="str">
        <f t="shared" si="15"/>
        <v>'2008'!L32:N32</v>
      </c>
      <c r="Q32" s="198" t="str">
        <f t="shared" si="16"/>
        <v>'2009'!C32:E32</v>
      </c>
      <c r="R32" s="198" t="str">
        <f t="shared" si="16"/>
        <v>'2009'!F32:H32</v>
      </c>
      <c r="S32" s="198" t="str">
        <f t="shared" si="16"/>
        <v>'2009'!I32:K32</v>
      </c>
      <c r="T32" s="198" t="str">
        <f t="shared" si="16"/>
        <v>'2009'!L32:N32</v>
      </c>
      <c r="U32" s="198" t="str">
        <f t="shared" si="16"/>
        <v>'2010'!C32:E32</v>
      </c>
      <c r="V32" s="198" t="str">
        <f t="shared" si="16"/>
        <v>'2010'!F32:H32</v>
      </c>
      <c r="W32" s="198" t="str">
        <f t="shared" si="16"/>
        <v>'2010'!I32:K32</v>
      </c>
      <c r="X32" s="198" t="str">
        <f t="shared" si="16"/>
        <v>'2010'!L32:N32</v>
      </c>
      <c r="Y32" s="198" t="str">
        <f t="shared" si="16"/>
        <v>'2011'!C32:E32</v>
      </c>
      <c r="Z32" s="198" t="str">
        <f t="shared" si="16"/>
        <v>'2011'!F32:H32</v>
      </c>
      <c r="AA32" s="198" t="str">
        <f t="shared" si="16"/>
        <v>'2011'!I32:K32</v>
      </c>
      <c r="AB32" s="198" t="str">
        <f t="shared" si="16"/>
        <v>'2011'!L32:N32</v>
      </c>
    </row>
    <row r="33" spans="1:28" s="388" customFormat="1" ht="12.75">
      <c r="A33" s="157">
        <v>33</v>
      </c>
      <c r="B33" s="157" t="s">
        <v>105</v>
      </c>
      <c r="C33" s="157"/>
      <c r="D33" s="157"/>
      <c r="E33" s="198" t="str">
        <f t="shared" si="15"/>
        <v>'2006'!C33:E33</v>
      </c>
      <c r="F33" s="198" t="str">
        <f t="shared" si="15"/>
        <v>'2006'!F33:H33</v>
      </c>
      <c r="G33" s="198" t="str">
        <f t="shared" si="15"/>
        <v>'2006'!I33:K33</v>
      </c>
      <c r="H33" s="198" t="str">
        <f t="shared" si="15"/>
        <v>'2006'!L33:N33</v>
      </c>
      <c r="I33" s="198" t="str">
        <f t="shared" si="15"/>
        <v>'2007'!C33:E33</v>
      </c>
      <c r="J33" s="198" t="str">
        <f t="shared" si="15"/>
        <v>'2007'!F33:H33</v>
      </c>
      <c r="K33" s="198" t="str">
        <f t="shared" si="15"/>
        <v>'2007'!I33:K33</v>
      </c>
      <c r="L33" s="198" t="str">
        <f t="shared" si="15"/>
        <v>'2007'!L33:N33</v>
      </c>
      <c r="M33" s="198" t="str">
        <f t="shared" si="15"/>
        <v>'2008'!C33:E33</v>
      </c>
      <c r="N33" s="198" t="str">
        <f t="shared" si="15"/>
        <v>'2008'!F33:H33</v>
      </c>
      <c r="O33" s="198" t="str">
        <f t="shared" si="15"/>
        <v>'2008'!I33:K33</v>
      </c>
      <c r="P33" s="198" t="str">
        <f t="shared" si="15"/>
        <v>'2008'!L33:N33</v>
      </c>
      <c r="Q33" s="198" t="str">
        <f t="shared" si="16"/>
        <v>'2009'!C33:E33</v>
      </c>
      <c r="R33" s="198" t="str">
        <f t="shared" si="16"/>
        <v>'2009'!F33:H33</v>
      </c>
      <c r="S33" s="198" t="str">
        <f t="shared" si="16"/>
        <v>'2009'!I33:K33</v>
      </c>
      <c r="T33" s="198" t="str">
        <f t="shared" si="16"/>
        <v>'2009'!L33:N33</v>
      </c>
      <c r="U33" s="198" t="str">
        <f t="shared" si="16"/>
        <v>'2010'!C33:E33</v>
      </c>
      <c r="V33" s="198" t="str">
        <f t="shared" si="16"/>
        <v>'2010'!F33:H33</v>
      </c>
      <c r="W33" s="198" t="str">
        <f t="shared" si="16"/>
        <v>'2010'!I33:K33</v>
      </c>
      <c r="X33" s="198" t="str">
        <f t="shared" si="16"/>
        <v>'2010'!L33:N33</v>
      </c>
      <c r="Y33" s="198" t="str">
        <f t="shared" si="16"/>
        <v>'2011'!C33:E33</v>
      </c>
      <c r="Z33" s="198" t="str">
        <f t="shared" si="16"/>
        <v>'2011'!F33:H33</v>
      </c>
      <c r="AA33" s="198" t="str">
        <f t="shared" si="16"/>
        <v>'2011'!I33:K33</v>
      </c>
      <c r="AB33" s="198" t="str">
        <f t="shared" si="16"/>
        <v>'2011'!L33:N33</v>
      </c>
    </row>
    <row r="34" spans="1:28" s="388" customFormat="1" ht="12.75">
      <c r="A34" s="157">
        <v>34</v>
      </c>
      <c r="B34" s="157" t="s">
        <v>112</v>
      </c>
      <c r="C34" s="157"/>
      <c r="D34" s="157"/>
      <c r="E34" s="198" t="str">
        <f t="shared" si="15"/>
        <v>'2006'!C34:E34</v>
      </c>
      <c r="F34" s="198" t="str">
        <f t="shared" si="15"/>
        <v>'2006'!F34:H34</v>
      </c>
      <c r="G34" s="198" t="str">
        <f t="shared" si="15"/>
        <v>'2006'!I34:K34</v>
      </c>
      <c r="H34" s="198" t="str">
        <f t="shared" si="15"/>
        <v>'2006'!L34:N34</v>
      </c>
      <c r="I34" s="198" t="str">
        <f t="shared" si="15"/>
        <v>'2007'!C34:E34</v>
      </c>
      <c r="J34" s="198" t="str">
        <f t="shared" si="15"/>
        <v>'2007'!F34:H34</v>
      </c>
      <c r="K34" s="198" t="str">
        <f t="shared" si="15"/>
        <v>'2007'!I34:K34</v>
      </c>
      <c r="L34" s="198" t="str">
        <f t="shared" si="15"/>
        <v>'2007'!L34:N34</v>
      </c>
      <c r="M34" s="198" t="str">
        <f t="shared" si="15"/>
        <v>'2008'!C34:E34</v>
      </c>
      <c r="N34" s="198" t="str">
        <f t="shared" si="15"/>
        <v>'2008'!F34:H34</v>
      </c>
      <c r="O34" s="198" t="str">
        <f t="shared" si="15"/>
        <v>'2008'!I34:K34</v>
      </c>
      <c r="P34" s="198" t="str">
        <f t="shared" si="15"/>
        <v>'2008'!L34:N34</v>
      </c>
      <c r="Q34" s="198" t="str">
        <f t="shared" si="16"/>
        <v>'2009'!C34:E34</v>
      </c>
      <c r="R34" s="198" t="str">
        <f t="shared" si="16"/>
        <v>'2009'!F34:H34</v>
      </c>
      <c r="S34" s="198" t="str">
        <f t="shared" si="16"/>
        <v>'2009'!I34:K34</v>
      </c>
      <c r="T34" s="198" t="str">
        <f t="shared" si="16"/>
        <v>'2009'!L34:N34</v>
      </c>
      <c r="U34" s="198" t="str">
        <f t="shared" si="16"/>
        <v>'2010'!C34:E34</v>
      </c>
      <c r="V34" s="198" t="str">
        <f t="shared" si="16"/>
        <v>'2010'!F34:H34</v>
      </c>
      <c r="W34" s="198" t="str">
        <f t="shared" si="16"/>
        <v>'2010'!I34:K34</v>
      </c>
      <c r="X34" s="198" t="str">
        <f t="shared" si="16"/>
        <v>'2010'!L34:N34</v>
      </c>
      <c r="Y34" s="198" t="str">
        <f t="shared" si="16"/>
        <v>'2011'!C34:E34</v>
      </c>
      <c r="Z34" s="198" t="str">
        <f t="shared" si="16"/>
        <v>'2011'!F34:H34</v>
      </c>
      <c r="AA34" s="198" t="str">
        <f t="shared" si="16"/>
        <v>'2011'!I34:K34</v>
      </c>
      <c r="AB34" s="198" t="str">
        <f t="shared" si="16"/>
        <v>'2011'!L34:N34</v>
      </c>
    </row>
    <row r="35" spans="1:28" s="388" customFormat="1" ht="12.75">
      <c r="A35" s="157">
        <v>35</v>
      </c>
      <c r="B35" s="157" t="s">
        <v>21</v>
      </c>
      <c r="C35" s="157"/>
      <c r="D35" s="157"/>
      <c r="E35" s="198" t="str">
        <f t="shared" si="15"/>
        <v>'2006'!C35:E35</v>
      </c>
      <c r="F35" s="198" t="str">
        <f t="shared" si="15"/>
        <v>'2006'!F35:H35</v>
      </c>
      <c r="G35" s="198" t="str">
        <f t="shared" si="15"/>
        <v>'2006'!I35:K35</v>
      </c>
      <c r="H35" s="198" t="str">
        <f t="shared" si="15"/>
        <v>'2006'!L35:N35</v>
      </c>
      <c r="I35" s="198" t="str">
        <f t="shared" si="15"/>
        <v>'2007'!C35:E35</v>
      </c>
      <c r="J35" s="198" t="str">
        <f t="shared" si="15"/>
        <v>'2007'!F35:H35</v>
      </c>
      <c r="K35" s="198" t="str">
        <f t="shared" si="15"/>
        <v>'2007'!I35:K35</v>
      </c>
      <c r="L35" s="198" t="str">
        <f t="shared" si="15"/>
        <v>'2007'!L35:N35</v>
      </c>
      <c r="M35" s="198" t="str">
        <f t="shared" si="15"/>
        <v>'2008'!C35:E35</v>
      </c>
      <c r="N35" s="198" t="str">
        <f t="shared" si="15"/>
        <v>'2008'!F35:H35</v>
      </c>
      <c r="O35" s="198" t="str">
        <f t="shared" si="15"/>
        <v>'2008'!I35:K35</v>
      </c>
      <c r="P35" s="198" t="str">
        <f t="shared" si="15"/>
        <v>'2008'!L35:N35</v>
      </c>
      <c r="Q35" s="198" t="str">
        <f t="shared" si="16"/>
        <v>'2009'!C35:E35</v>
      </c>
      <c r="R35" s="198" t="str">
        <f t="shared" si="16"/>
        <v>'2009'!F35:H35</v>
      </c>
      <c r="S35" s="198" t="str">
        <f t="shared" si="16"/>
        <v>'2009'!I35:K35</v>
      </c>
      <c r="T35" s="198" t="str">
        <f t="shared" si="16"/>
        <v>'2009'!L35:N35</v>
      </c>
      <c r="U35" s="198" t="str">
        <f t="shared" si="16"/>
        <v>'2010'!C35:E35</v>
      </c>
      <c r="V35" s="198" t="str">
        <f t="shared" si="16"/>
        <v>'2010'!F35:H35</v>
      </c>
      <c r="W35" s="198" t="str">
        <f t="shared" si="16"/>
        <v>'2010'!I35:K35</v>
      </c>
      <c r="X35" s="198" t="str">
        <f t="shared" si="16"/>
        <v>'2010'!L35:N35</v>
      </c>
      <c r="Y35" s="198" t="str">
        <f t="shared" si="16"/>
        <v>'2011'!C35:E35</v>
      </c>
      <c r="Z35" s="198" t="str">
        <f t="shared" si="16"/>
        <v>'2011'!F35:H35</v>
      </c>
      <c r="AA35" s="198" t="str">
        <f t="shared" si="16"/>
        <v>'2011'!I35:K35</v>
      </c>
      <c r="AB35" s="198" t="str">
        <f t="shared" si="16"/>
        <v>'2011'!L35:N35</v>
      </c>
    </row>
    <row r="36" spans="1:28" s="388" customFormat="1" ht="12.75">
      <c r="A36" s="157">
        <v>36</v>
      </c>
      <c r="B36" s="157" t="s">
        <v>22</v>
      </c>
      <c r="C36" s="157"/>
      <c r="D36" s="157"/>
      <c r="E36" s="198" t="str">
        <f t="shared" si="15"/>
        <v>'2006'!C36:E36</v>
      </c>
      <c r="F36" s="198" t="str">
        <f t="shared" si="15"/>
        <v>'2006'!F36:H36</v>
      </c>
      <c r="G36" s="198" t="str">
        <f t="shared" si="15"/>
        <v>'2006'!I36:K36</v>
      </c>
      <c r="H36" s="198" t="str">
        <f t="shared" si="15"/>
        <v>'2006'!L36:N36</v>
      </c>
      <c r="I36" s="198" t="str">
        <f t="shared" si="15"/>
        <v>'2007'!C36:E36</v>
      </c>
      <c r="J36" s="198" t="str">
        <f t="shared" si="15"/>
        <v>'2007'!F36:H36</v>
      </c>
      <c r="K36" s="198" t="str">
        <f t="shared" si="15"/>
        <v>'2007'!I36:K36</v>
      </c>
      <c r="L36" s="198" t="str">
        <f t="shared" si="15"/>
        <v>'2007'!L36:N36</v>
      </c>
      <c r="M36" s="198" t="str">
        <f t="shared" si="15"/>
        <v>'2008'!C36:E36</v>
      </c>
      <c r="N36" s="198" t="str">
        <f t="shared" si="15"/>
        <v>'2008'!F36:H36</v>
      </c>
      <c r="O36" s="198" t="str">
        <f t="shared" si="15"/>
        <v>'2008'!I36:K36</v>
      </c>
      <c r="P36" s="198" t="str">
        <f t="shared" si="15"/>
        <v>'2008'!L36:N36</v>
      </c>
      <c r="Q36" s="198" t="str">
        <f t="shared" si="16"/>
        <v>'2009'!C36:E36</v>
      </c>
      <c r="R36" s="198" t="str">
        <f t="shared" si="16"/>
        <v>'2009'!F36:H36</v>
      </c>
      <c r="S36" s="198" t="str">
        <f t="shared" si="16"/>
        <v>'2009'!I36:K36</v>
      </c>
      <c r="T36" s="198" t="str">
        <f t="shared" si="16"/>
        <v>'2009'!L36:N36</v>
      </c>
      <c r="U36" s="198" t="str">
        <f t="shared" si="16"/>
        <v>'2010'!C36:E36</v>
      </c>
      <c r="V36" s="198" t="str">
        <f t="shared" si="16"/>
        <v>'2010'!F36:H36</v>
      </c>
      <c r="W36" s="198" t="str">
        <f t="shared" si="16"/>
        <v>'2010'!I36:K36</v>
      </c>
      <c r="X36" s="198" t="str">
        <f t="shared" si="16"/>
        <v>'2010'!L36:N36</v>
      </c>
      <c r="Y36" s="198" t="str">
        <f t="shared" si="16"/>
        <v>'2011'!C36:E36</v>
      </c>
      <c r="Z36" s="198" t="str">
        <f t="shared" si="16"/>
        <v>'2011'!F36:H36</v>
      </c>
      <c r="AA36" s="198" t="str">
        <f t="shared" si="16"/>
        <v>'2011'!I36:K36</v>
      </c>
      <c r="AB36" s="198" t="str">
        <f t="shared" si="16"/>
        <v>'2011'!L36:N36</v>
      </c>
    </row>
    <row r="37" spans="1:28" s="388" customFormat="1" ht="12.75">
      <c r="A37" s="157">
        <v>37</v>
      </c>
      <c r="B37" s="157" t="s">
        <v>24</v>
      </c>
      <c r="C37" s="157"/>
      <c r="D37" s="157"/>
      <c r="E37" s="198" t="str">
        <f t="shared" si="15"/>
        <v>'2006'!C37:E37</v>
      </c>
      <c r="F37" s="198" t="str">
        <f t="shared" si="15"/>
        <v>'2006'!F37:H37</v>
      </c>
      <c r="G37" s="198" t="str">
        <f t="shared" si="15"/>
        <v>'2006'!I37:K37</v>
      </c>
      <c r="H37" s="198" t="str">
        <f t="shared" si="15"/>
        <v>'2006'!L37:N37</v>
      </c>
      <c r="I37" s="198" t="str">
        <f t="shared" si="15"/>
        <v>'2007'!C37:E37</v>
      </c>
      <c r="J37" s="198" t="str">
        <f t="shared" si="15"/>
        <v>'2007'!F37:H37</v>
      </c>
      <c r="K37" s="198" t="str">
        <f t="shared" si="15"/>
        <v>'2007'!I37:K37</v>
      </c>
      <c r="L37" s="198" t="str">
        <f t="shared" si="15"/>
        <v>'2007'!L37:N37</v>
      </c>
      <c r="M37" s="198" t="str">
        <f t="shared" si="15"/>
        <v>'2008'!C37:E37</v>
      </c>
      <c r="N37" s="198" t="str">
        <f t="shared" si="15"/>
        <v>'2008'!F37:H37</v>
      </c>
      <c r="O37" s="198" t="str">
        <f t="shared" si="15"/>
        <v>'2008'!I37:K37</v>
      </c>
      <c r="P37" s="198" t="str">
        <f t="shared" si="15"/>
        <v>'2008'!L37:N37</v>
      </c>
      <c r="Q37" s="198" t="str">
        <f t="shared" si="16"/>
        <v>'2009'!C37:E37</v>
      </c>
      <c r="R37" s="198" t="str">
        <f t="shared" si="16"/>
        <v>'2009'!F37:H37</v>
      </c>
      <c r="S37" s="198" t="str">
        <f t="shared" si="16"/>
        <v>'2009'!I37:K37</v>
      </c>
      <c r="T37" s="198" t="str">
        <f t="shared" si="16"/>
        <v>'2009'!L37:N37</v>
      </c>
      <c r="U37" s="198" t="str">
        <f t="shared" si="16"/>
        <v>'2010'!C37:E37</v>
      </c>
      <c r="V37" s="198" t="str">
        <f t="shared" si="16"/>
        <v>'2010'!F37:H37</v>
      </c>
      <c r="W37" s="198" t="str">
        <f t="shared" si="16"/>
        <v>'2010'!I37:K37</v>
      </c>
      <c r="X37" s="198" t="str">
        <f t="shared" si="16"/>
        <v>'2010'!L37:N37</v>
      </c>
      <c r="Y37" s="198" t="str">
        <f t="shared" si="16"/>
        <v>'2011'!C37:E37</v>
      </c>
      <c r="Z37" s="198" t="str">
        <f t="shared" si="16"/>
        <v>'2011'!F37:H37</v>
      </c>
      <c r="AA37" s="198" t="str">
        <f t="shared" si="16"/>
        <v>'2011'!I37:K37</v>
      </c>
      <c r="AB37" s="198" t="str">
        <f t="shared" si="16"/>
        <v>'2011'!L37:N37</v>
      </c>
    </row>
    <row r="38" spans="1:28" s="388" customFormat="1" ht="12.75">
      <c r="A38" s="157">
        <v>38</v>
      </c>
      <c r="B38" s="157" t="s">
        <v>23</v>
      </c>
      <c r="C38" s="157"/>
      <c r="D38" s="157"/>
      <c r="E38" s="198" t="str">
        <f t="shared" si="15"/>
        <v>'2006'!C38:E38</v>
      </c>
      <c r="F38" s="198" t="str">
        <f t="shared" si="15"/>
        <v>'2006'!F38:H38</v>
      </c>
      <c r="G38" s="198" t="str">
        <f t="shared" si="15"/>
        <v>'2006'!I38:K38</v>
      </c>
      <c r="H38" s="198" t="str">
        <f t="shared" si="15"/>
        <v>'2006'!L38:N38</v>
      </c>
      <c r="I38" s="198" t="str">
        <f t="shared" si="15"/>
        <v>'2007'!C38:E38</v>
      </c>
      <c r="J38" s="198" t="str">
        <f t="shared" si="15"/>
        <v>'2007'!F38:H38</v>
      </c>
      <c r="K38" s="198" t="str">
        <f t="shared" si="15"/>
        <v>'2007'!I38:K38</v>
      </c>
      <c r="L38" s="198" t="str">
        <f t="shared" si="15"/>
        <v>'2007'!L38:N38</v>
      </c>
      <c r="M38" s="198" t="str">
        <f t="shared" si="15"/>
        <v>'2008'!C38:E38</v>
      </c>
      <c r="N38" s="198" t="str">
        <f t="shared" si="15"/>
        <v>'2008'!F38:H38</v>
      </c>
      <c r="O38" s="198" t="str">
        <f t="shared" si="15"/>
        <v>'2008'!I38:K38</v>
      </c>
      <c r="P38" s="198" t="str">
        <f t="shared" si="15"/>
        <v>'2008'!L38:N38</v>
      </c>
      <c r="Q38" s="198" t="str">
        <f t="shared" si="16"/>
        <v>'2009'!C38:E38</v>
      </c>
      <c r="R38" s="198" t="str">
        <f t="shared" si="16"/>
        <v>'2009'!F38:H38</v>
      </c>
      <c r="S38" s="198" t="str">
        <f t="shared" si="16"/>
        <v>'2009'!I38:K38</v>
      </c>
      <c r="T38" s="198" t="str">
        <f t="shared" si="16"/>
        <v>'2009'!L38:N38</v>
      </c>
      <c r="U38" s="198" t="str">
        <f t="shared" si="16"/>
        <v>'2010'!C38:E38</v>
      </c>
      <c r="V38" s="198" t="str">
        <f t="shared" si="16"/>
        <v>'2010'!F38:H38</v>
      </c>
      <c r="W38" s="198" t="str">
        <f t="shared" si="16"/>
        <v>'2010'!I38:K38</v>
      </c>
      <c r="X38" s="198" t="str">
        <f t="shared" si="16"/>
        <v>'2010'!L38:N38</v>
      </c>
      <c r="Y38" s="198" t="str">
        <f t="shared" si="16"/>
        <v>'2011'!C38:E38</v>
      </c>
      <c r="Z38" s="198" t="str">
        <f t="shared" si="16"/>
        <v>'2011'!F38:H38</v>
      </c>
      <c r="AA38" s="198" t="str">
        <f t="shared" si="16"/>
        <v>'2011'!I38:K38</v>
      </c>
      <c r="AB38" s="198" t="str">
        <f t="shared" si="16"/>
        <v>'2011'!L38:N38</v>
      </c>
    </row>
    <row r="39" spans="1:28" s="388" customFormat="1" ht="12.75">
      <c r="A39" s="157">
        <v>39</v>
      </c>
      <c r="B39" s="157" t="s">
        <v>25</v>
      </c>
      <c r="C39" s="157"/>
      <c r="D39" s="157"/>
      <c r="E39" s="198" t="str">
        <f t="shared" si="15"/>
        <v>'2006'!C39:E39</v>
      </c>
      <c r="F39" s="198" t="str">
        <f t="shared" si="15"/>
        <v>'2006'!F39:H39</v>
      </c>
      <c r="G39" s="198" t="str">
        <f t="shared" si="15"/>
        <v>'2006'!I39:K39</v>
      </c>
      <c r="H39" s="198" t="str">
        <f t="shared" si="15"/>
        <v>'2006'!L39:N39</v>
      </c>
      <c r="I39" s="198" t="str">
        <f t="shared" si="15"/>
        <v>'2007'!C39:E39</v>
      </c>
      <c r="J39" s="198" t="str">
        <f t="shared" si="15"/>
        <v>'2007'!F39:H39</v>
      </c>
      <c r="K39" s="198" t="str">
        <f t="shared" si="15"/>
        <v>'2007'!I39:K39</v>
      </c>
      <c r="L39" s="198" t="str">
        <f t="shared" si="15"/>
        <v>'2007'!L39:N39</v>
      </c>
      <c r="M39" s="198" t="str">
        <f t="shared" si="15"/>
        <v>'2008'!C39:E39</v>
      </c>
      <c r="N39" s="198" t="str">
        <f t="shared" si="15"/>
        <v>'2008'!F39:H39</v>
      </c>
      <c r="O39" s="198" t="str">
        <f t="shared" si="15"/>
        <v>'2008'!I39:K39</v>
      </c>
      <c r="P39" s="198" t="str">
        <f t="shared" si="15"/>
        <v>'2008'!L39:N39</v>
      </c>
      <c r="Q39" s="198" t="str">
        <f t="shared" si="16"/>
        <v>'2009'!C39:E39</v>
      </c>
      <c r="R39" s="198" t="str">
        <f t="shared" si="16"/>
        <v>'2009'!F39:H39</v>
      </c>
      <c r="S39" s="198" t="str">
        <f t="shared" si="16"/>
        <v>'2009'!I39:K39</v>
      </c>
      <c r="T39" s="198" t="str">
        <f t="shared" si="16"/>
        <v>'2009'!L39:N39</v>
      </c>
      <c r="U39" s="198" t="str">
        <f t="shared" si="16"/>
        <v>'2010'!C39:E39</v>
      </c>
      <c r="V39" s="198" t="str">
        <f t="shared" si="16"/>
        <v>'2010'!F39:H39</v>
      </c>
      <c r="W39" s="198" t="str">
        <f t="shared" si="16"/>
        <v>'2010'!I39:K39</v>
      </c>
      <c r="X39" s="198" t="str">
        <f t="shared" si="16"/>
        <v>'2010'!L39:N39</v>
      </c>
      <c r="Y39" s="198" t="str">
        <f t="shared" si="16"/>
        <v>'2011'!C39:E39</v>
      </c>
      <c r="Z39" s="198" t="str">
        <f t="shared" si="16"/>
        <v>'2011'!F39:H39</v>
      </c>
      <c r="AA39" s="198" t="str">
        <f t="shared" si="16"/>
        <v>'2011'!I39:K39</v>
      </c>
      <c r="AB39" s="198" t="str">
        <f t="shared" si="16"/>
        <v>'2011'!L39:N39</v>
      </c>
    </row>
    <row r="40" spans="1:28" s="388" customFormat="1" ht="12.75">
      <c r="A40" s="157">
        <v>40</v>
      </c>
      <c r="B40" s="346" t="s">
        <v>163</v>
      </c>
      <c r="C40" s="346"/>
      <c r="D40" s="346"/>
      <c r="E40" s="198" t="str">
        <f aca="true" t="shared" si="17" ref="E40:U49">"'"&amp;E$24&amp;"'!"&amp;E$26&amp;$A40&amp;":"&amp;E$27&amp;$A40</f>
        <v>'2006'!C40:E40</v>
      </c>
      <c r="F40" s="198" t="str">
        <f t="shared" si="17"/>
        <v>'2006'!F40:H40</v>
      </c>
      <c r="G40" s="198" t="str">
        <f t="shared" si="17"/>
        <v>'2006'!I40:K40</v>
      </c>
      <c r="H40" s="198" t="str">
        <f t="shared" si="17"/>
        <v>'2006'!L40:N40</v>
      </c>
      <c r="I40" s="198" t="str">
        <f t="shared" si="17"/>
        <v>'2007'!C40:E40</v>
      </c>
      <c r="J40" s="198" t="str">
        <f t="shared" si="17"/>
        <v>'2007'!F40:H40</v>
      </c>
      <c r="K40" s="198" t="str">
        <f t="shared" si="17"/>
        <v>'2007'!I40:K40</v>
      </c>
      <c r="L40" s="198" t="str">
        <f t="shared" si="17"/>
        <v>'2007'!L40:N40</v>
      </c>
      <c r="M40" s="198" t="str">
        <f t="shared" si="17"/>
        <v>'2008'!C40:E40</v>
      </c>
      <c r="N40" s="198" t="str">
        <f t="shared" si="17"/>
        <v>'2008'!F40:H40</v>
      </c>
      <c r="O40" s="198" t="str">
        <f t="shared" si="17"/>
        <v>'2008'!I40:K40</v>
      </c>
      <c r="P40" s="198" t="str">
        <f t="shared" si="17"/>
        <v>'2008'!L40:N40</v>
      </c>
      <c r="Q40" s="198" t="str">
        <f t="shared" si="17"/>
        <v>'2009'!C40:E40</v>
      </c>
      <c r="R40" s="198" t="str">
        <f t="shared" si="17"/>
        <v>'2009'!F40:H40</v>
      </c>
      <c r="S40" s="198" t="str">
        <f t="shared" si="17"/>
        <v>'2009'!I40:K40</v>
      </c>
      <c r="T40" s="198" t="str">
        <f t="shared" si="17"/>
        <v>'2009'!L40:N40</v>
      </c>
      <c r="U40" s="198" t="str">
        <f t="shared" si="17"/>
        <v>'2010'!C40:E40</v>
      </c>
      <c r="V40" s="198" t="str">
        <f t="shared" si="16"/>
        <v>'2010'!F40:H40</v>
      </c>
      <c r="W40" s="198" t="str">
        <f t="shared" si="16"/>
        <v>'2010'!I40:K40</v>
      </c>
      <c r="X40" s="198" t="str">
        <f t="shared" si="16"/>
        <v>'2010'!L40:N40</v>
      </c>
      <c r="Y40" s="198" t="str">
        <f t="shared" si="16"/>
        <v>'2011'!C40:E40</v>
      </c>
      <c r="Z40" s="198" t="str">
        <f t="shared" si="16"/>
        <v>'2011'!F40:H40</v>
      </c>
      <c r="AA40" s="198" t="str">
        <f t="shared" si="16"/>
        <v>'2011'!I40:K40</v>
      </c>
      <c r="AB40" s="198" t="str">
        <f t="shared" si="16"/>
        <v>'2011'!L40:N40</v>
      </c>
    </row>
    <row r="41" spans="1:28" s="388" customFormat="1" ht="12.75">
      <c r="A41" s="157">
        <v>41</v>
      </c>
      <c r="B41" s="157" t="s">
        <v>114</v>
      </c>
      <c r="C41" s="157"/>
      <c r="D41" s="157"/>
      <c r="E41" s="198" t="str">
        <f t="shared" si="17"/>
        <v>'2006'!C41:E41</v>
      </c>
      <c r="F41" s="198" t="str">
        <f t="shared" si="17"/>
        <v>'2006'!F41:H41</v>
      </c>
      <c r="G41" s="198" t="str">
        <f t="shared" si="17"/>
        <v>'2006'!I41:K41</v>
      </c>
      <c r="H41" s="198" t="str">
        <f t="shared" si="17"/>
        <v>'2006'!L41:N41</v>
      </c>
      <c r="I41" s="198" t="str">
        <f t="shared" si="17"/>
        <v>'2007'!C41:E41</v>
      </c>
      <c r="J41" s="198" t="str">
        <f t="shared" si="17"/>
        <v>'2007'!F41:H41</v>
      </c>
      <c r="K41" s="198" t="str">
        <f t="shared" si="17"/>
        <v>'2007'!I41:K41</v>
      </c>
      <c r="L41" s="198" t="str">
        <f t="shared" si="17"/>
        <v>'2007'!L41:N41</v>
      </c>
      <c r="M41" s="198" t="str">
        <f t="shared" si="17"/>
        <v>'2008'!C41:E41</v>
      </c>
      <c r="N41" s="198" t="str">
        <f t="shared" si="17"/>
        <v>'2008'!F41:H41</v>
      </c>
      <c r="O41" s="198" t="str">
        <f t="shared" si="17"/>
        <v>'2008'!I41:K41</v>
      </c>
      <c r="P41" s="198" t="str">
        <f t="shared" si="17"/>
        <v>'2008'!L41:N41</v>
      </c>
      <c r="Q41" s="198" t="str">
        <f t="shared" si="16"/>
        <v>'2009'!C41:E41</v>
      </c>
      <c r="R41" s="198" t="str">
        <f t="shared" si="16"/>
        <v>'2009'!F41:H41</v>
      </c>
      <c r="S41" s="198" t="str">
        <f t="shared" si="16"/>
        <v>'2009'!I41:K41</v>
      </c>
      <c r="T41" s="198" t="str">
        <f t="shared" si="16"/>
        <v>'2009'!L41:N41</v>
      </c>
      <c r="U41" s="198" t="str">
        <f t="shared" si="16"/>
        <v>'2010'!C41:E41</v>
      </c>
      <c r="V41" s="198" t="str">
        <f t="shared" si="16"/>
        <v>'2010'!F41:H41</v>
      </c>
      <c r="W41" s="198" t="str">
        <f t="shared" si="16"/>
        <v>'2010'!I41:K41</v>
      </c>
      <c r="X41" s="198" t="str">
        <f t="shared" si="16"/>
        <v>'2010'!L41:N41</v>
      </c>
      <c r="Y41" s="198" t="str">
        <f t="shared" si="16"/>
        <v>'2011'!C41:E41</v>
      </c>
      <c r="Z41" s="198" t="str">
        <f t="shared" si="16"/>
        <v>'2011'!F41:H41</v>
      </c>
      <c r="AA41" s="198" t="str">
        <f t="shared" si="16"/>
        <v>'2011'!I41:K41</v>
      </c>
      <c r="AB41" s="198" t="str">
        <f t="shared" si="16"/>
        <v>'2011'!L41:N41</v>
      </c>
    </row>
    <row r="42" spans="1:28" s="388" customFormat="1" ht="12.75">
      <c r="A42" s="157">
        <v>42</v>
      </c>
      <c r="B42" s="157" t="s">
        <v>27</v>
      </c>
      <c r="C42" s="157"/>
      <c r="D42" s="157"/>
      <c r="E42" s="198" t="str">
        <f t="shared" si="17"/>
        <v>'2006'!C42:E42</v>
      </c>
      <c r="F42" s="198" t="str">
        <f t="shared" si="17"/>
        <v>'2006'!F42:H42</v>
      </c>
      <c r="G42" s="198" t="str">
        <f t="shared" si="17"/>
        <v>'2006'!I42:K42</v>
      </c>
      <c r="H42" s="198" t="str">
        <f t="shared" si="17"/>
        <v>'2006'!L42:N42</v>
      </c>
      <c r="I42" s="198" t="str">
        <f t="shared" si="17"/>
        <v>'2007'!C42:E42</v>
      </c>
      <c r="J42" s="198" t="str">
        <f t="shared" si="17"/>
        <v>'2007'!F42:H42</v>
      </c>
      <c r="K42" s="198" t="str">
        <f t="shared" si="17"/>
        <v>'2007'!I42:K42</v>
      </c>
      <c r="L42" s="198" t="str">
        <f t="shared" si="17"/>
        <v>'2007'!L42:N42</v>
      </c>
      <c r="M42" s="198" t="str">
        <f t="shared" si="17"/>
        <v>'2008'!C42:E42</v>
      </c>
      <c r="N42" s="198" t="str">
        <f t="shared" si="17"/>
        <v>'2008'!F42:H42</v>
      </c>
      <c r="O42" s="198" t="str">
        <f t="shared" si="17"/>
        <v>'2008'!I42:K42</v>
      </c>
      <c r="P42" s="198" t="str">
        <f t="shared" si="17"/>
        <v>'2008'!L42:N42</v>
      </c>
      <c r="Q42" s="198" t="str">
        <f t="shared" si="16"/>
        <v>'2009'!C42:E42</v>
      </c>
      <c r="R42" s="198" t="str">
        <f t="shared" si="16"/>
        <v>'2009'!F42:H42</v>
      </c>
      <c r="S42" s="198" t="str">
        <f t="shared" si="16"/>
        <v>'2009'!I42:K42</v>
      </c>
      <c r="T42" s="198" t="str">
        <f t="shared" si="16"/>
        <v>'2009'!L42:N42</v>
      </c>
      <c r="U42" s="198" t="str">
        <f t="shared" si="16"/>
        <v>'2010'!C42:E42</v>
      </c>
      <c r="V42" s="198" t="str">
        <f t="shared" si="16"/>
        <v>'2010'!F42:H42</v>
      </c>
      <c r="W42" s="198" t="str">
        <f t="shared" si="16"/>
        <v>'2010'!I42:K42</v>
      </c>
      <c r="X42" s="198" t="str">
        <f t="shared" si="16"/>
        <v>'2010'!L42:N42</v>
      </c>
      <c r="Y42" s="198" t="str">
        <f t="shared" si="16"/>
        <v>'2011'!C42:E42</v>
      </c>
      <c r="Z42" s="198" t="str">
        <f t="shared" si="16"/>
        <v>'2011'!F42:H42</v>
      </c>
      <c r="AA42" s="198" t="str">
        <f t="shared" si="16"/>
        <v>'2011'!I42:K42</v>
      </c>
      <c r="AB42" s="198" t="str">
        <f t="shared" si="16"/>
        <v>'2011'!L42:N42</v>
      </c>
    </row>
    <row r="43" spans="1:28" s="388" customFormat="1" ht="12.75">
      <c r="A43" s="157">
        <v>43</v>
      </c>
      <c r="B43" s="157" t="s">
        <v>57</v>
      </c>
      <c r="C43" s="157"/>
      <c r="D43" s="157"/>
      <c r="E43" s="198" t="str">
        <f t="shared" si="17"/>
        <v>'2006'!C43:E43</v>
      </c>
      <c r="F43" s="198" t="str">
        <f t="shared" si="17"/>
        <v>'2006'!F43:H43</v>
      </c>
      <c r="G43" s="198" t="str">
        <f t="shared" si="17"/>
        <v>'2006'!I43:K43</v>
      </c>
      <c r="H43" s="198" t="str">
        <f t="shared" si="17"/>
        <v>'2006'!L43:N43</v>
      </c>
      <c r="I43" s="198" t="str">
        <f t="shared" si="17"/>
        <v>'2007'!C43:E43</v>
      </c>
      <c r="J43" s="198" t="str">
        <f t="shared" si="17"/>
        <v>'2007'!F43:H43</v>
      </c>
      <c r="K43" s="198" t="str">
        <f t="shared" si="17"/>
        <v>'2007'!I43:K43</v>
      </c>
      <c r="L43" s="198" t="str">
        <f t="shared" si="17"/>
        <v>'2007'!L43:N43</v>
      </c>
      <c r="M43" s="198" t="str">
        <f t="shared" si="17"/>
        <v>'2008'!C43:E43</v>
      </c>
      <c r="N43" s="198" t="str">
        <f t="shared" si="17"/>
        <v>'2008'!F43:H43</v>
      </c>
      <c r="O43" s="198" t="str">
        <f t="shared" si="17"/>
        <v>'2008'!I43:K43</v>
      </c>
      <c r="P43" s="198" t="str">
        <f t="shared" si="17"/>
        <v>'2008'!L43:N43</v>
      </c>
      <c r="Q43" s="198" t="str">
        <f t="shared" si="16"/>
        <v>'2009'!C43:E43</v>
      </c>
      <c r="R43" s="198" t="str">
        <f t="shared" si="16"/>
        <v>'2009'!F43:H43</v>
      </c>
      <c r="S43" s="198" t="str">
        <f t="shared" si="16"/>
        <v>'2009'!I43:K43</v>
      </c>
      <c r="T43" s="198" t="str">
        <f t="shared" si="16"/>
        <v>'2009'!L43:N43</v>
      </c>
      <c r="U43" s="198" t="str">
        <f t="shared" si="16"/>
        <v>'2010'!C43:E43</v>
      </c>
      <c r="V43" s="198" t="str">
        <f t="shared" si="16"/>
        <v>'2010'!F43:H43</v>
      </c>
      <c r="W43" s="198" t="str">
        <f t="shared" si="16"/>
        <v>'2010'!I43:K43</v>
      </c>
      <c r="X43" s="198" t="str">
        <f t="shared" si="16"/>
        <v>'2010'!L43:N43</v>
      </c>
      <c r="Y43" s="198" t="str">
        <f t="shared" si="16"/>
        <v>'2011'!C43:E43</v>
      </c>
      <c r="Z43" s="198" t="str">
        <f t="shared" si="16"/>
        <v>'2011'!F43:H43</v>
      </c>
      <c r="AA43" s="198" t="str">
        <f t="shared" si="16"/>
        <v>'2011'!I43:K43</v>
      </c>
      <c r="AB43" s="198" t="str">
        <f t="shared" si="16"/>
        <v>'2011'!L43:N43</v>
      </c>
    </row>
    <row r="44" spans="1:28" s="388" customFormat="1" ht="12.75">
      <c r="A44" s="157">
        <v>44</v>
      </c>
      <c r="B44" s="157" t="s">
        <v>106</v>
      </c>
      <c r="C44" s="157"/>
      <c r="D44" s="157"/>
      <c r="E44" s="198" t="str">
        <f t="shared" si="17"/>
        <v>'2006'!C44:E44</v>
      </c>
      <c r="F44" s="198" t="str">
        <f t="shared" si="17"/>
        <v>'2006'!F44:H44</v>
      </c>
      <c r="G44" s="198" t="str">
        <f t="shared" si="17"/>
        <v>'2006'!I44:K44</v>
      </c>
      <c r="H44" s="198" t="str">
        <f t="shared" si="17"/>
        <v>'2006'!L44:N44</v>
      </c>
      <c r="I44" s="198" t="str">
        <f t="shared" si="17"/>
        <v>'2007'!C44:E44</v>
      </c>
      <c r="J44" s="198" t="str">
        <f t="shared" si="17"/>
        <v>'2007'!F44:H44</v>
      </c>
      <c r="K44" s="198" t="str">
        <f t="shared" si="17"/>
        <v>'2007'!I44:K44</v>
      </c>
      <c r="L44" s="198" t="str">
        <f t="shared" si="17"/>
        <v>'2007'!L44:N44</v>
      </c>
      <c r="M44" s="198" t="str">
        <f t="shared" si="17"/>
        <v>'2008'!C44:E44</v>
      </c>
      <c r="N44" s="198" t="str">
        <f t="shared" si="17"/>
        <v>'2008'!F44:H44</v>
      </c>
      <c r="O44" s="198" t="str">
        <f t="shared" si="17"/>
        <v>'2008'!I44:K44</v>
      </c>
      <c r="P44" s="198" t="str">
        <f t="shared" si="17"/>
        <v>'2008'!L44:N44</v>
      </c>
      <c r="Q44" s="198" t="str">
        <f t="shared" si="16"/>
        <v>'2009'!C44:E44</v>
      </c>
      <c r="R44" s="198" t="str">
        <f t="shared" si="16"/>
        <v>'2009'!F44:H44</v>
      </c>
      <c r="S44" s="198" t="str">
        <f t="shared" si="16"/>
        <v>'2009'!I44:K44</v>
      </c>
      <c r="T44" s="198" t="str">
        <f t="shared" si="16"/>
        <v>'2009'!L44:N44</v>
      </c>
      <c r="U44" s="198" t="str">
        <f t="shared" si="16"/>
        <v>'2010'!C44:E44</v>
      </c>
      <c r="V44" s="198" t="str">
        <f t="shared" si="16"/>
        <v>'2010'!F44:H44</v>
      </c>
      <c r="W44" s="198" t="str">
        <f t="shared" si="16"/>
        <v>'2010'!I44:K44</v>
      </c>
      <c r="X44" s="198" t="str">
        <f t="shared" si="16"/>
        <v>'2010'!L44:N44</v>
      </c>
      <c r="Y44" s="198" t="str">
        <f t="shared" si="16"/>
        <v>'2011'!C44:E44</v>
      </c>
      <c r="Z44" s="198" t="str">
        <f t="shared" si="16"/>
        <v>'2011'!F44:H44</v>
      </c>
      <c r="AA44" s="198" t="str">
        <f t="shared" si="16"/>
        <v>'2011'!I44:K44</v>
      </c>
      <c r="AB44" s="198" t="str">
        <f t="shared" si="16"/>
        <v>'2011'!L44:N44</v>
      </c>
    </row>
    <row r="45" spans="1:28" s="388" customFormat="1" ht="12.75">
      <c r="A45" s="157">
        <v>45</v>
      </c>
      <c r="B45" s="157" t="s">
        <v>115</v>
      </c>
      <c r="C45" s="157"/>
      <c r="D45" s="157"/>
      <c r="E45" s="198" t="str">
        <f t="shared" si="17"/>
        <v>'2006'!C45:E45</v>
      </c>
      <c r="F45" s="198" t="str">
        <f t="shared" si="17"/>
        <v>'2006'!F45:H45</v>
      </c>
      <c r="G45" s="198" t="str">
        <f t="shared" si="17"/>
        <v>'2006'!I45:K45</v>
      </c>
      <c r="H45" s="198" t="str">
        <f t="shared" si="17"/>
        <v>'2006'!L45:N45</v>
      </c>
      <c r="I45" s="198" t="str">
        <f t="shared" si="17"/>
        <v>'2007'!C45:E45</v>
      </c>
      <c r="J45" s="198" t="str">
        <f t="shared" si="17"/>
        <v>'2007'!F45:H45</v>
      </c>
      <c r="K45" s="198" t="str">
        <f t="shared" si="17"/>
        <v>'2007'!I45:K45</v>
      </c>
      <c r="L45" s="198" t="str">
        <f t="shared" si="17"/>
        <v>'2007'!L45:N45</v>
      </c>
      <c r="M45" s="198" t="str">
        <f t="shared" si="17"/>
        <v>'2008'!C45:E45</v>
      </c>
      <c r="N45" s="198" t="str">
        <f t="shared" si="17"/>
        <v>'2008'!F45:H45</v>
      </c>
      <c r="O45" s="198" t="str">
        <f t="shared" si="17"/>
        <v>'2008'!I45:K45</v>
      </c>
      <c r="P45" s="198" t="str">
        <f t="shared" si="17"/>
        <v>'2008'!L45:N45</v>
      </c>
      <c r="Q45" s="198" t="str">
        <f t="shared" si="16"/>
        <v>'2009'!C45:E45</v>
      </c>
      <c r="R45" s="198" t="str">
        <f t="shared" si="16"/>
        <v>'2009'!F45:H45</v>
      </c>
      <c r="S45" s="198" t="str">
        <f t="shared" si="16"/>
        <v>'2009'!I45:K45</v>
      </c>
      <c r="T45" s="198" t="str">
        <f t="shared" si="16"/>
        <v>'2009'!L45:N45</v>
      </c>
      <c r="U45" s="198" t="str">
        <f t="shared" si="16"/>
        <v>'2010'!C45:E45</v>
      </c>
      <c r="V45" s="198" t="str">
        <f t="shared" si="16"/>
        <v>'2010'!F45:H45</v>
      </c>
      <c r="W45" s="198" t="str">
        <f t="shared" si="16"/>
        <v>'2010'!I45:K45</v>
      </c>
      <c r="X45" s="198" t="str">
        <f t="shared" si="16"/>
        <v>'2010'!L45:N45</v>
      </c>
      <c r="Y45" s="198" t="str">
        <f t="shared" si="16"/>
        <v>'2011'!C45:E45</v>
      </c>
      <c r="Z45" s="198" t="str">
        <f t="shared" si="16"/>
        <v>'2011'!F45:H45</v>
      </c>
      <c r="AA45" s="198" t="str">
        <f t="shared" si="16"/>
        <v>'2011'!I45:K45</v>
      </c>
      <c r="AB45" s="198" t="str">
        <f t="shared" si="16"/>
        <v>'2011'!L45:N45</v>
      </c>
    </row>
    <row r="46" spans="1:28" s="388" customFormat="1" ht="12.75">
      <c r="A46" s="157">
        <v>46</v>
      </c>
      <c r="B46" s="157" t="s">
        <v>116</v>
      </c>
      <c r="C46" s="157"/>
      <c r="D46" s="157"/>
      <c r="E46" s="198" t="str">
        <f t="shared" si="17"/>
        <v>'2006'!C46:E46</v>
      </c>
      <c r="F46" s="198" t="str">
        <f t="shared" si="17"/>
        <v>'2006'!F46:H46</v>
      </c>
      <c r="G46" s="198" t="str">
        <f t="shared" si="17"/>
        <v>'2006'!I46:K46</v>
      </c>
      <c r="H46" s="198" t="str">
        <f t="shared" si="17"/>
        <v>'2006'!L46:N46</v>
      </c>
      <c r="I46" s="198" t="str">
        <f t="shared" si="17"/>
        <v>'2007'!C46:E46</v>
      </c>
      <c r="J46" s="198" t="str">
        <f t="shared" si="17"/>
        <v>'2007'!F46:H46</v>
      </c>
      <c r="K46" s="198" t="str">
        <f t="shared" si="17"/>
        <v>'2007'!I46:K46</v>
      </c>
      <c r="L46" s="198" t="str">
        <f t="shared" si="17"/>
        <v>'2007'!L46:N46</v>
      </c>
      <c r="M46" s="198" t="str">
        <f t="shared" si="17"/>
        <v>'2008'!C46:E46</v>
      </c>
      <c r="N46" s="198" t="str">
        <f t="shared" si="17"/>
        <v>'2008'!F46:H46</v>
      </c>
      <c r="O46" s="198" t="str">
        <f t="shared" si="17"/>
        <v>'2008'!I46:K46</v>
      </c>
      <c r="P46" s="198" t="str">
        <f t="shared" si="17"/>
        <v>'2008'!L46:N46</v>
      </c>
      <c r="Q46" s="198" t="str">
        <f aca="true" t="shared" si="18" ref="Q46:AB49">"'"&amp;Q$24&amp;"'!"&amp;Q$26&amp;$A46&amp;":"&amp;Q$27&amp;$A46</f>
        <v>'2009'!C46:E46</v>
      </c>
      <c r="R46" s="198" t="str">
        <f t="shared" si="18"/>
        <v>'2009'!F46:H46</v>
      </c>
      <c r="S46" s="198" t="str">
        <f t="shared" si="18"/>
        <v>'2009'!I46:K46</v>
      </c>
      <c r="T46" s="198" t="str">
        <f t="shared" si="18"/>
        <v>'2009'!L46:N46</v>
      </c>
      <c r="U46" s="198" t="str">
        <f t="shared" si="18"/>
        <v>'2010'!C46:E46</v>
      </c>
      <c r="V46" s="198" t="str">
        <f t="shared" si="18"/>
        <v>'2010'!F46:H46</v>
      </c>
      <c r="W46" s="198" t="str">
        <f t="shared" si="18"/>
        <v>'2010'!I46:K46</v>
      </c>
      <c r="X46" s="198" t="str">
        <f t="shared" si="18"/>
        <v>'2010'!L46:N46</v>
      </c>
      <c r="Y46" s="198" t="str">
        <f t="shared" si="18"/>
        <v>'2011'!C46:E46</v>
      </c>
      <c r="Z46" s="198" t="str">
        <f t="shared" si="18"/>
        <v>'2011'!F46:H46</v>
      </c>
      <c r="AA46" s="198" t="str">
        <f t="shared" si="18"/>
        <v>'2011'!I46:K46</v>
      </c>
      <c r="AB46" s="198" t="str">
        <f t="shared" si="18"/>
        <v>'2011'!L46:N46</v>
      </c>
    </row>
    <row r="47" spans="1:28" s="388" customFormat="1" ht="12.75">
      <c r="A47" s="157">
        <v>47</v>
      </c>
      <c r="B47" s="157" t="s">
        <v>107</v>
      </c>
      <c r="C47" s="157"/>
      <c r="D47" s="157"/>
      <c r="E47" s="198" t="str">
        <f t="shared" si="17"/>
        <v>'2006'!C47:E47</v>
      </c>
      <c r="F47" s="198" t="str">
        <f t="shared" si="17"/>
        <v>'2006'!F47:H47</v>
      </c>
      <c r="G47" s="198" t="str">
        <f t="shared" si="17"/>
        <v>'2006'!I47:K47</v>
      </c>
      <c r="H47" s="198" t="str">
        <f t="shared" si="17"/>
        <v>'2006'!L47:N47</v>
      </c>
      <c r="I47" s="198" t="str">
        <f t="shared" si="17"/>
        <v>'2007'!C47:E47</v>
      </c>
      <c r="J47" s="198" t="str">
        <f t="shared" si="17"/>
        <v>'2007'!F47:H47</v>
      </c>
      <c r="K47" s="198" t="str">
        <f t="shared" si="17"/>
        <v>'2007'!I47:K47</v>
      </c>
      <c r="L47" s="198" t="str">
        <f t="shared" si="17"/>
        <v>'2007'!L47:N47</v>
      </c>
      <c r="M47" s="198" t="str">
        <f t="shared" si="17"/>
        <v>'2008'!C47:E47</v>
      </c>
      <c r="N47" s="198" t="str">
        <f t="shared" si="17"/>
        <v>'2008'!F47:H47</v>
      </c>
      <c r="O47" s="198" t="str">
        <f t="shared" si="17"/>
        <v>'2008'!I47:K47</v>
      </c>
      <c r="P47" s="198" t="str">
        <f t="shared" si="17"/>
        <v>'2008'!L47:N47</v>
      </c>
      <c r="Q47" s="198" t="str">
        <f t="shared" si="18"/>
        <v>'2009'!C47:E47</v>
      </c>
      <c r="R47" s="198" t="str">
        <f t="shared" si="18"/>
        <v>'2009'!F47:H47</v>
      </c>
      <c r="S47" s="198" t="str">
        <f t="shared" si="18"/>
        <v>'2009'!I47:K47</v>
      </c>
      <c r="T47" s="198" t="str">
        <f t="shared" si="18"/>
        <v>'2009'!L47:N47</v>
      </c>
      <c r="U47" s="198" t="str">
        <f t="shared" si="18"/>
        <v>'2010'!C47:E47</v>
      </c>
      <c r="V47" s="198" t="str">
        <f t="shared" si="18"/>
        <v>'2010'!F47:H47</v>
      </c>
      <c r="W47" s="198" t="str">
        <f t="shared" si="18"/>
        <v>'2010'!I47:K47</v>
      </c>
      <c r="X47" s="198" t="str">
        <f t="shared" si="18"/>
        <v>'2010'!L47:N47</v>
      </c>
      <c r="Y47" s="198" t="str">
        <f t="shared" si="18"/>
        <v>'2011'!C47:E47</v>
      </c>
      <c r="Z47" s="198" t="str">
        <f t="shared" si="18"/>
        <v>'2011'!F47:H47</v>
      </c>
      <c r="AA47" s="198" t="str">
        <f t="shared" si="18"/>
        <v>'2011'!I47:K47</v>
      </c>
      <c r="AB47" s="198" t="str">
        <f t="shared" si="18"/>
        <v>'2011'!L47:N47</v>
      </c>
    </row>
    <row r="48" spans="1:28" s="388" customFormat="1" ht="12.75">
      <c r="A48" s="157">
        <v>48</v>
      </c>
      <c r="B48" s="157"/>
      <c r="C48" s="157"/>
      <c r="D48" s="157"/>
      <c r="E48" s="198" t="str">
        <f t="shared" si="17"/>
        <v>'2006'!C48:E48</v>
      </c>
      <c r="F48" s="198" t="str">
        <f t="shared" si="17"/>
        <v>'2006'!F48:H48</v>
      </c>
      <c r="G48" s="198" t="str">
        <f t="shared" si="17"/>
        <v>'2006'!I48:K48</v>
      </c>
      <c r="H48" s="198" t="str">
        <f t="shared" si="17"/>
        <v>'2006'!L48:N48</v>
      </c>
      <c r="I48" s="198" t="str">
        <f t="shared" si="17"/>
        <v>'2007'!C48:E48</v>
      </c>
      <c r="J48" s="198" t="str">
        <f t="shared" si="17"/>
        <v>'2007'!F48:H48</v>
      </c>
      <c r="K48" s="198" t="str">
        <f t="shared" si="17"/>
        <v>'2007'!I48:K48</v>
      </c>
      <c r="L48" s="198" t="str">
        <f t="shared" si="17"/>
        <v>'2007'!L48:N48</v>
      </c>
      <c r="M48" s="198" t="str">
        <f t="shared" si="17"/>
        <v>'2008'!C48:E48</v>
      </c>
      <c r="N48" s="198" t="str">
        <f t="shared" si="17"/>
        <v>'2008'!F48:H48</v>
      </c>
      <c r="O48" s="198" t="str">
        <f t="shared" si="17"/>
        <v>'2008'!I48:K48</v>
      </c>
      <c r="P48" s="198" t="str">
        <f t="shared" si="17"/>
        <v>'2008'!L48:N48</v>
      </c>
      <c r="Q48" s="198" t="str">
        <f t="shared" si="18"/>
        <v>'2009'!C48:E48</v>
      </c>
      <c r="R48" s="198" t="str">
        <f t="shared" si="18"/>
        <v>'2009'!F48:H48</v>
      </c>
      <c r="S48" s="198" t="str">
        <f t="shared" si="18"/>
        <v>'2009'!I48:K48</v>
      </c>
      <c r="T48" s="198" t="str">
        <f t="shared" si="18"/>
        <v>'2009'!L48:N48</v>
      </c>
      <c r="U48" s="198" t="str">
        <f t="shared" si="18"/>
        <v>'2010'!C48:E48</v>
      </c>
      <c r="V48" s="198" t="str">
        <f t="shared" si="18"/>
        <v>'2010'!F48:H48</v>
      </c>
      <c r="W48" s="198" t="str">
        <f t="shared" si="18"/>
        <v>'2010'!I48:K48</v>
      </c>
      <c r="X48" s="198" t="str">
        <f t="shared" si="18"/>
        <v>'2010'!L48:N48</v>
      </c>
      <c r="Y48" s="198" t="str">
        <f t="shared" si="18"/>
        <v>'2011'!C48:E48</v>
      </c>
      <c r="Z48" s="198" t="str">
        <f t="shared" si="18"/>
        <v>'2011'!F48:H48</v>
      </c>
      <c r="AA48" s="198" t="str">
        <f t="shared" si="18"/>
        <v>'2011'!I48:K48</v>
      </c>
      <c r="AB48" s="198" t="str">
        <f t="shared" si="18"/>
        <v>'2011'!L48:N48</v>
      </c>
    </row>
    <row r="49" spans="1:28" s="388" customFormat="1" ht="12.75">
      <c r="A49" s="157">
        <v>49</v>
      </c>
      <c r="B49" s="196" t="s">
        <v>28</v>
      </c>
      <c r="C49" s="196"/>
      <c r="D49" s="196"/>
      <c r="E49" s="198" t="str">
        <f t="shared" si="17"/>
        <v>'2006'!C49:E49</v>
      </c>
      <c r="F49" s="198" t="str">
        <f t="shared" si="17"/>
        <v>'2006'!F49:H49</v>
      </c>
      <c r="G49" s="198" t="str">
        <f t="shared" si="17"/>
        <v>'2006'!I49:K49</v>
      </c>
      <c r="H49" s="198" t="str">
        <f t="shared" si="17"/>
        <v>'2006'!L49:N49</v>
      </c>
      <c r="I49" s="198" t="str">
        <f t="shared" si="17"/>
        <v>'2007'!C49:E49</v>
      </c>
      <c r="J49" s="198" t="str">
        <f t="shared" si="17"/>
        <v>'2007'!F49:H49</v>
      </c>
      <c r="K49" s="198" t="str">
        <f t="shared" si="17"/>
        <v>'2007'!I49:K49</v>
      </c>
      <c r="L49" s="198" t="str">
        <f t="shared" si="17"/>
        <v>'2007'!L49:N49</v>
      </c>
      <c r="M49" s="198" t="str">
        <f t="shared" si="17"/>
        <v>'2008'!C49:E49</v>
      </c>
      <c r="N49" s="198" t="str">
        <f t="shared" si="17"/>
        <v>'2008'!F49:H49</v>
      </c>
      <c r="O49" s="198" t="str">
        <f t="shared" si="17"/>
        <v>'2008'!I49:K49</v>
      </c>
      <c r="P49" s="198" t="str">
        <f t="shared" si="17"/>
        <v>'2008'!L49:N49</v>
      </c>
      <c r="Q49" s="198" t="str">
        <f t="shared" si="18"/>
        <v>'2009'!C49:E49</v>
      </c>
      <c r="R49" s="198" t="str">
        <f t="shared" si="18"/>
        <v>'2009'!F49:H49</v>
      </c>
      <c r="S49" s="198" t="str">
        <f t="shared" si="18"/>
        <v>'2009'!I49:K49</v>
      </c>
      <c r="T49" s="198" t="str">
        <f t="shared" si="18"/>
        <v>'2009'!L49:N49</v>
      </c>
      <c r="U49" s="198" t="str">
        <f t="shared" si="18"/>
        <v>'2010'!C49:E49</v>
      </c>
      <c r="V49" s="198" t="str">
        <f t="shared" si="18"/>
        <v>'2010'!F49:H49</v>
      </c>
      <c r="W49" s="198" t="str">
        <f t="shared" si="18"/>
        <v>'2010'!I49:K49</v>
      </c>
      <c r="X49" s="198" t="str">
        <f t="shared" si="18"/>
        <v>'2010'!L49:N49</v>
      </c>
      <c r="Y49" s="198" t="str">
        <f t="shared" si="18"/>
        <v>'2011'!C49:E49</v>
      </c>
      <c r="Z49" s="198" t="str">
        <f t="shared" si="18"/>
        <v>'2011'!F49:H49</v>
      </c>
      <c r="AA49" s="198" t="str">
        <f t="shared" si="18"/>
        <v>'2011'!I49:K49</v>
      </c>
      <c r="AB49" s="198" t="str">
        <f t="shared" si="18"/>
        <v>'2011'!L49:N49</v>
      </c>
    </row>
    <row r="50" spans="1:28" s="388" customFormat="1" ht="13.5" thickBot="1">
      <c r="A50" s="15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</row>
    <row r="51" spans="1:28" ht="13.5" thickTop="1">
      <c r="A51" s="157"/>
      <c r="B51" s="201">
        <f ca="1">NOW()</f>
        <v>40948.65149502315</v>
      </c>
      <c r="C51" s="201"/>
      <c r="D51" s="201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</row>
    <row r="52" spans="1:28" ht="12.75">
      <c r="A52" s="157"/>
      <c r="B52" s="201" t="s">
        <v>97</v>
      </c>
      <c r="C52" s="201"/>
      <c r="D52" s="201"/>
      <c r="E52" s="204"/>
      <c r="F52" s="204"/>
      <c r="G52" s="204"/>
      <c r="H52" s="204"/>
      <c r="I52" s="204"/>
      <c r="J52" s="204"/>
      <c r="K52" s="204" t="e">
        <f>SUM(K31:K46)+K49+#REF!-#REF!</f>
        <v>#VALUE!</v>
      </c>
      <c r="L52" s="204" t="e">
        <f>SUM(L31:L46)+L49+#REF!-#REF!</f>
        <v>#VALUE!</v>
      </c>
      <c r="M52" s="204" t="e">
        <f>SUM(M31:M46)+M49+#REF!-#REF!</f>
        <v>#VALUE!</v>
      </c>
      <c r="N52" s="204" t="e">
        <f>SUM(N31:N46)+N49+#REF!-#REF!</f>
        <v>#VALUE!</v>
      </c>
      <c r="O52" s="204" t="e">
        <f>SUM(O31:O46)+O49+#REF!-#REF!</f>
        <v>#VALUE!</v>
      </c>
      <c r="P52" s="204" t="e">
        <f>SUM(P31:P46)+P49+#REF!-#REF!</f>
        <v>#VALUE!</v>
      </c>
      <c r="Q52" s="204" t="e">
        <f>SUM(Q31:Q46)+Q49+#REF!-#REF!</f>
        <v>#VALUE!</v>
      </c>
      <c r="R52" s="204" t="e">
        <f>SUM(R31:R46)+R49+#REF!-#REF!</f>
        <v>#VALUE!</v>
      </c>
      <c r="S52" s="204" t="e">
        <f>SUM(S31:S46)+S49+#REF!-#REF!</f>
        <v>#VALUE!</v>
      </c>
      <c r="T52" s="204" t="e">
        <f>SUM(T31:T46)+T49+#REF!-#REF!</f>
        <v>#VALUE!</v>
      </c>
      <c r="U52" s="204" t="e">
        <f>SUM(U31:U46)+U49+#REF!-#REF!</f>
        <v>#VALUE!</v>
      </c>
      <c r="V52" s="204" t="e">
        <f>SUM(V31:V46)+V49+#REF!-#REF!</f>
        <v>#VALUE!</v>
      </c>
      <c r="W52" s="204" t="e">
        <f>SUM(W31:W46)+W49+#REF!-#REF!</f>
        <v>#VALUE!</v>
      </c>
      <c r="X52" s="204" t="e">
        <f>SUM(X31:X46)+X49+#REF!-#REF!</f>
        <v>#VALUE!</v>
      </c>
      <c r="Y52" s="204" t="e">
        <f>SUM(Y31:Y46)+Y49+#REF!-#REF!</f>
        <v>#VALUE!</v>
      </c>
      <c r="Z52" s="204" t="e">
        <f>SUM(Z31:Z46)+Z49+#REF!-#REF!</f>
        <v>#VALUE!</v>
      </c>
      <c r="AA52" s="204" t="e">
        <f>SUM(AA31:AA46)+AA49+#REF!-#REF!</f>
        <v>#VALUE!</v>
      </c>
      <c r="AB52" s="204" t="e">
        <f>SUM(AB31:AB46)+AB49+#REF!-#REF!</f>
        <v>#VALUE!</v>
      </c>
    </row>
    <row r="53" spans="1:28" ht="12.75">
      <c r="A53" s="157"/>
      <c r="B53" s="201"/>
      <c r="C53" s="201"/>
      <c r="D53" s="201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</row>
    <row r="54" spans="1:28" ht="12.75">
      <c r="A54" s="157"/>
      <c r="B54" s="201"/>
      <c r="C54" s="201"/>
      <c r="D54" s="201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</row>
    <row r="55" spans="1:28" ht="12.75">
      <c r="A55" s="157"/>
      <c r="B55" s="201"/>
      <c r="C55" s="201"/>
      <c r="D55" s="20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</row>
    <row r="56" spans="1:28" ht="12.75">
      <c r="A56" s="157"/>
      <c r="B56" s="201" t="s">
        <v>93</v>
      </c>
      <c r="C56" s="201"/>
      <c r="D56" s="201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</row>
    <row r="57" spans="1:28" ht="12.75">
      <c r="A57" s="202" t="s">
        <v>30</v>
      </c>
      <c r="B57" s="157" t="s">
        <v>94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  <row r="58" spans="1:28" ht="12.75">
      <c r="A58" s="157"/>
      <c r="B58" s="157" t="s">
        <v>96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</row>
    <row r="59" spans="1:28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</row>
    <row r="60" spans="1:28" ht="12.75">
      <c r="A60" s="123"/>
      <c r="B60" s="123" t="s">
        <v>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1:28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1:28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1:28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1:28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1:28" ht="12.75">
      <c r="A65" s="23" t="s">
        <v>46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3.5" thickBot="1">
      <c r="A67" s="23"/>
      <c r="B67" s="289"/>
      <c r="C67" s="289"/>
      <c r="D67" s="289"/>
      <c r="E67" s="292"/>
      <c r="F67" s="292"/>
      <c r="G67" s="292"/>
      <c r="H67" s="292"/>
      <c r="I67" s="292"/>
      <c r="J67" s="292"/>
      <c r="K67" s="292">
        <v>1998</v>
      </c>
      <c r="L67" s="292">
        <v>1998</v>
      </c>
      <c r="M67" s="292">
        <v>1998</v>
      </c>
      <c r="N67" s="292">
        <v>1998</v>
      </c>
      <c r="O67" s="292">
        <v>1998</v>
      </c>
      <c r="P67" s="292">
        <v>1999</v>
      </c>
      <c r="Q67" s="292">
        <v>1999</v>
      </c>
      <c r="R67" s="292">
        <v>1999</v>
      </c>
      <c r="S67" s="292">
        <v>1999</v>
      </c>
      <c r="T67" s="292">
        <v>1999</v>
      </c>
      <c r="U67" s="292">
        <v>1999</v>
      </c>
      <c r="V67" s="292">
        <v>1999</v>
      </c>
      <c r="W67" s="292">
        <v>1999</v>
      </c>
      <c r="X67" s="292">
        <v>1999</v>
      </c>
      <c r="Y67" s="292">
        <v>2000</v>
      </c>
      <c r="Z67" s="292">
        <v>2001</v>
      </c>
      <c r="AA67" s="292">
        <v>2002</v>
      </c>
      <c r="AB67" s="292">
        <v>2003</v>
      </c>
    </row>
    <row r="68" spans="1:28" ht="14.25" thickBot="1" thickTop="1">
      <c r="A68" s="23"/>
      <c r="B68" s="293"/>
      <c r="C68" s="289"/>
      <c r="D68" s="289"/>
      <c r="E68" s="391"/>
      <c r="F68" s="391"/>
      <c r="G68" s="391"/>
      <c r="H68" s="391"/>
      <c r="I68" s="391"/>
      <c r="J68" s="391"/>
      <c r="K68" s="301" t="s">
        <v>15</v>
      </c>
      <c r="L68" s="301" t="s">
        <v>15</v>
      </c>
      <c r="M68" s="301" t="s">
        <v>15</v>
      </c>
      <c r="N68" s="301" t="s">
        <v>15</v>
      </c>
      <c r="O68" s="301" t="s">
        <v>15</v>
      </c>
      <c r="P68" s="301" t="s">
        <v>15</v>
      </c>
      <c r="Q68" s="301" t="s">
        <v>15</v>
      </c>
      <c r="R68" s="301" t="s">
        <v>15</v>
      </c>
      <c r="S68" s="301" t="s">
        <v>15</v>
      </c>
      <c r="T68" s="301" t="s">
        <v>15</v>
      </c>
      <c r="U68" s="301" t="s">
        <v>15</v>
      </c>
      <c r="V68" s="301" t="s">
        <v>15</v>
      </c>
      <c r="W68" s="301" t="s">
        <v>15</v>
      </c>
      <c r="X68" s="301" t="s">
        <v>15</v>
      </c>
      <c r="Y68" s="301" t="s">
        <v>15</v>
      </c>
      <c r="Z68" s="301" t="s">
        <v>15</v>
      </c>
      <c r="AA68" s="301" t="s">
        <v>15</v>
      </c>
      <c r="AB68" s="301" t="s">
        <v>15</v>
      </c>
    </row>
    <row r="69" spans="1:28" ht="13.5" thickTop="1">
      <c r="A69" s="23"/>
      <c r="B69" s="392"/>
      <c r="C69" s="297"/>
      <c r="D69" s="297"/>
      <c r="E69" s="297"/>
      <c r="F69" s="297"/>
      <c r="G69" s="297"/>
      <c r="H69" s="297"/>
      <c r="I69" s="297"/>
      <c r="J69" s="297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</row>
    <row r="70" spans="1:28" ht="12.75">
      <c r="A70" s="23"/>
      <c r="B70" s="394" t="s">
        <v>42</v>
      </c>
      <c r="C70" s="395"/>
      <c r="D70" s="395"/>
      <c r="E70" s="396"/>
      <c r="F70" s="396"/>
      <c r="G70" s="396"/>
      <c r="H70" s="396"/>
      <c r="I70" s="396"/>
      <c r="J70" s="396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</row>
    <row r="71" spans="1:28" ht="12.75">
      <c r="A71" s="23"/>
      <c r="B71" s="398" t="s">
        <v>33</v>
      </c>
      <c r="C71" s="399"/>
      <c r="D71" s="399"/>
      <c r="E71" s="396"/>
      <c r="F71" s="396"/>
      <c r="G71" s="396"/>
      <c r="H71" s="396"/>
      <c r="I71" s="396"/>
      <c r="J71" s="396"/>
      <c r="K71" s="397" t="e">
        <f>SUM(#REF!)</f>
        <v>#REF!</v>
      </c>
      <c r="L71" s="397" t="e">
        <f>SUM(#REF!)</f>
        <v>#REF!</v>
      </c>
      <c r="M71" s="397" t="e">
        <f>SUM(#REF!)</f>
        <v>#REF!</v>
      </c>
      <c r="N71" s="397" t="e">
        <f>SUM(#REF!)</f>
        <v>#REF!</v>
      </c>
      <c r="O71" s="397" t="e">
        <f>SUM(#REF!)</f>
        <v>#REF!</v>
      </c>
      <c r="P71" s="397" t="e">
        <f>SUM(#REF!)</f>
        <v>#REF!</v>
      </c>
      <c r="Q71" s="397" t="e">
        <f>SUM(#REF!)</f>
        <v>#REF!</v>
      </c>
      <c r="R71" s="397" t="e">
        <f>SUM(#REF!)</f>
        <v>#REF!</v>
      </c>
      <c r="S71" s="397" t="e">
        <f>SUM(#REF!)</f>
        <v>#REF!</v>
      </c>
      <c r="T71" s="397" t="e">
        <f>SUM(#REF!)</f>
        <v>#REF!</v>
      </c>
      <c r="U71" s="397" t="e">
        <f>SUM(#REF!)</f>
        <v>#REF!</v>
      </c>
      <c r="V71" s="397" t="e">
        <f>SUM(#REF!)</f>
        <v>#REF!</v>
      </c>
      <c r="W71" s="397" t="e">
        <f>SUM(#REF!)</f>
        <v>#REF!</v>
      </c>
      <c r="X71" s="397" t="e">
        <f>SUM(#REF!)</f>
        <v>#REF!</v>
      </c>
      <c r="Y71" s="397" t="e">
        <f>SUM(#REF!)</f>
        <v>#REF!</v>
      </c>
      <c r="Z71" s="397" t="e">
        <f>SUM(#REF!)</f>
        <v>#REF!</v>
      </c>
      <c r="AA71" s="397" t="e">
        <f>SUM(#REF!)</f>
        <v>#REF!</v>
      </c>
      <c r="AB71" s="397" t="e">
        <f>SUM(#REF!)</f>
        <v>#REF!</v>
      </c>
    </row>
    <row r="72" spans="1:28" ht="12.75">
      <c r="A72" s="23"/>
      <c r="B72" s="394" t="s">
        <v>34</v>
      </c>
      <c r="C72" s="395"/>
      <c r="D72" s="395"/>
      <c r="E72" s="396"/>
      <c r="F72" s="396"/>
      <c r="G72" s="396"/>
      <c r="H72" s="396"/>
      <c r="I72" s="396"/>
      <c r="J72" s="396"/>
      <c r="K72" s="397" t="e">
        <f>SUM(#REF!)</f>
        <v>#REF!</v>
      </c>
      <c r="L72" s="397" t="e">
        <f>SUM(#REF!)</f>
        <v>#REF!</v>
      </c>
      <c r="M72" s="397" t="e">
        <f>SUM(#REF!)</f>
        <v>#REF!</v>
      </c>
      <c r="N72" s="397" t="e">
        <f>SUM(#REF!)</f>
        <v>#REF!</v>
      </c>
      <c r="O72" s="397" t="e">
        <f>SUM(#REF!)</f>
        <v>#REF!</v>
      </c>
      <c r="P72" s="397" t="e">
        <f>SUM(#REF!)</f>
        <v>#REF!</v>
      </c>
      <c r="Q72" s="397" t="e">
        <f>SUM(#REF!)</f>
        <v>#REF!</v>
      </c>
      <c r="R72" s="397" t="e">
        <f>SUM(#REF!)</f>
        <v>#REF!</v>
      </c>
      <c r="S72" s="397" t="e">
        <f>SUM(#REF!)</f>
        <v>#REF!</v>
      </c>
      <c r="T72" s="397" t="e">
        <f>SUM(#REF!)</f>
        <v>#REF!</v>
      </c>
      <c r="U72" s="397" t="e">
        <f>SUM(#REF!)</f>
        <v>#REF!</v>
      </c>
      <c r="V72" s="397" t="e">
        <f>SUM(#REF!)</f>
        <v>#REF!</v>
      </c>
      <c r="W72" s="397" t="e">
        <f>SUM(#REF!)</f>
        <v>#REF!</v>
      </c>
      <c r="X72" s="397" t="e">
        <f>SUM(#REF!)</f>
        <v>#REF!</v>
      </c>
      <c r="Y72" s="397" t="e">
        <f>SUM(#REF!)</f>
        <v>#REF!</v>
      </c>
      <c r="Z72" s="397" t="e">
        <f>SUM(#REF!)</f>
        <v>#REF!</v>
      </c>
      <c r="AA72" s="397" t="e">
        <f>SUM(#REF!)</f>
        <v>#REF!</v>
      </c>
      <c r="AB72" s="397" t="e">
        <f>SUM(#REF!)</f>
        <v>#REF!</v>
      </c>
    </row>
    <row r="73" spans="1:28" ht="12.75">
      <c r="A73" s="23"/>
      <c r="B73" s="398"/>
      <c r="C73" s="399"/>
      <c r="D73" s="399"/>
      <c r="E73" s="396"/>
      <c r="F73" s="396"/>
      <c r="G73" s="396"/>
      <c r="H73" s="396"/>
      <c r="I73" s="396"/>
      <c r="J73" s="396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</row>
    <row r="74" spans="1:28" ht="12.75">
      <c r="A74" s="23"/>
      <c r="B74" s="398" t="s">
        <v>43</v>
      </c>
      <c r="C74" s="399"/>
      <c r="D74" s="399"/>
      <c r="E74" s="396"/>
      <c r="F74" s="396"/>
      <c r="G74" s="396"/>
      <c r="H74" s="396"/>
      <c r="I74" s="396"/>
      <c r="J74" s="396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</row>
    <row r="75" spans="1:28" ht="12.75">
      <c r="A75" s="23"/>
      <c r="B75" s="398" t="s">
        <v>33</v>
      </c>
      <c r="C75" s="399"/>
      <c r="D75" s="399"/>
      <c r="E75" s="396"/>
      <c r="F75" s="396"/>
      <c r="G75" s="396"/>
      <c r="H75" s="396"/>
      <c r="I75" s="396"/>
      <c r="J75" s="396"/>
      <c r="K75" s="397" t="e">
        <f>SUM(#REF!)</f>
        <v>#REF!</v>
      </c>
      <c r="L75" s="397" t="e">
        <f>SUM(#REF!)</f>
        <v>#REF!</v>
      </c>
      <c r="M75" s="397" t="e">
        <f>SUM(#REF!)</f>
        <v>#REF!</v>
      </c>
      <c r="N75" s="397" t="e">
        <f>SUM(#REF!)</f>
        <v>#REF!</v>
      </c>
      <c r="O75" s="397" t="e">
        <f>SUM(#REF!)</f>
        <v>#REF!</v>
      </c>
      <c r="P75" s="397" t="e">
        <f>SUM(#REF!)</f>
        <v>#REF!</v>
      </c>
      <c r="Q75" s="397" t="e">
        <f>SUM(#REF!)</f>
        <v>#REF!</v>
      </c>
      <c r="R75" s="397" t="e">
        <f>SUM(#REF!)</f>
        <v>#REF!</v>
      </c>
      <c r="S75" s="397" t="e">
        <f>SUM(#REF!)</f>
        <v>#REF!</v>
      </c>
      <c r="T75" s="397" t="e">
        <f>SUM(#REF!)</f>
        <v>#REF!</v>
      </c>
      <c r="U75" s="397" t="e">
        <f>SUM(#REF!)</f>
        <v>#REF!</v>
      </c>
      <c r="V75" s="397" t="e">
        <f>SUM(#REF!)</f>
        <v>#REF!</v>
      </c>
      <c r="W75" s="397" t="e">
        <f>SUM(#REF!)</f>
        <v>#REF!</v>
      </c>
      <c r="X75" s="397" t="e">
        <f>SUM(#REF!)</f>
        <v>#REF!</v>
      </c>
      <c r="Y75" s="397" t="e">
        <f>SUM(#REF!)</f>
        <v>#REF!</v>
      </c>
      <c r="Z75" s="397" t="e">
        <f>SUM(#REF!)</f>
        <v>#REF!</v>
      </c>
      <c r="AA75" s="397" t="e">
        <f>SUM(#REF!)</f>
        <v>#REF!</v>
      </c>
      <c r="AB75" s="397" t="e">
        <f>SUM(#REF!)</f>
        <v>#REF!</v>
      </c>
    </row>
    <row r="76" spans="1:28" ht="12.75">
      <c r="A76" s="23"/>
      <c r="B76" s="394" t="s">
        <v>34</v>
      </c>
      <c r="C76" s="395"/>
      <c r="D76" s="395"/>
      <c r="E76" s="396"/>
      <c r="F76" s="396"/>
      <c r="G76" s="396"/>
      <c r="H76" s="396"/>
      <c r="I76" s="396"/>
      <c r="J76" s="396"/>
      <c r="K76" s="397" t="e">
        <f>SUM(#REF!)</f>
        <v>#REF!</v>
      </c>
      <c r="L76" s="397" t="e">
        <f>SUM(#REF!)</f>
        <v>#REF!</v>
      </c>
      <c r="M76" s="397" t="e">
        <f>SUM(#REF!)</f>
        <v>#REF!</v>
      </c>
      <c r="N76" s="397" t="e">
        <f>SUM(#REF!)</f>
        <v>#REF!</v>
      </c>
      <c r="O76" s="397" t="e">
        <f>SUM(#REF!)</f>
        <v>#REF!</v>
      </c>
      <c r="P76" s="397" t="e">
        <f>SUM(#REF!)</f>
        <v>#REF!</v>
      </c>
      <c r="Q76" s="397" t="e">
        <f>SUM(#REF!)</f>
        <v>#REF!</v>
      </c>
      <c r="R76" s="397" t="e">
        <f>SUM(#REF!)</f>
        <v>#REF!</v>
      </c>
      <c r="S76" s="397" t="e">
        <f>SUM(#REF!)</f>
        <v>#REF!</v>
      </c>
      <c r="T76" s="397" t="e">
        <f>SUM(#REF!)</f>
        <v>#REF!</v>
      </c>
      <c r="U76" s="397" t="e">
        <f>SUM(#REF!)</f>
        <v>#REF!</v>
      </c>
      <c r="V76" s="397" t="e">
        <f>SUM(#REF!)</f>
        <v>#REF!</v>
      </c>
      <c r="W76" s="397" t="e">
        <f>SUM(#REF!)</f>
        <v>#REF!</v>
      </c>
      <c r="X76" s="397" t="e">
        <f>SUM(#REF!)</f>
        <v>#REF!</v>
      </c>
      <c r="Y76" s="397" t="e">
        <f>SUM(#REF!)</f>
        <v>#REF!</v>
      </c>
      <c r="Z76" s="397" t="e">
        <f>SUM(#REF!)</f>
        <v>#REF!</v>
      </c>
      <c r="AA76" s="397" t="e">
        <f>SUM(#REF!)</f>
        <v>#REF!</v>
      </c>
      <c r="AB76" s="397" t="e">
        <f>SUM(#REF!)</f>
        <v>#REF!</v>
      </c>
    </row>
    <row r="77" spans="1:28" ht="12.75">
      <c r="A77" s="23"/>
      <c r="B77" s="398"/>
      <c r="C77" s="399"/>
      <c r="D77" s="399"/>
      <c r="E77" s="396"/>
      <c r="F77" s="396"/>
      <c r="G77" s="396"/>
      <c r="H77" s="396"/>
      <c r="I77" s="396"/>
      <c r="J77" s="396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</row>
    <row r="78" spans="1:28" ht="12.75">
      <c r="A78" s="23"/>
      <c r="B78" s="394" t="s">
        <v>32</v>
      </c>
      <c r="C78" s="395"/>
      <c r="D78" s="395"/>
      <c r="E78" s="396"/>
      <c r="F78" s="396"/>
      <c r="G78" s="396"/>
      <c r="H78" s="396"/>
      <c r="I78" s="396"/>
      <c r="J78" s="396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</row>
    <row r="79" spans="1:28" ht="12.75">
      <c r="A79" s="23"/>
      <c r="B79" s="398" t="s">
        <v>33</v>
      </c>
      <c r="C79" s="399"/>
      <c r="D79" s="399"/>
      <c r="E79" s="396"/>
      <c r="F79" s="396"/>
      <c r="G79" s="396"/>
      <c r="H79" s="396"/>
      <c r="I79" s="396"/>
      <c r="J79" s="396"/>
      <c r="K79" s="397" t="e">
        <f>SUM(#REF!)</f>
        <v>#REF!</v>
      </c>
      <c r="L79" s="397" t="e">
        <f>SUM(#REF!)</f>
        <v>#REF!</v>
      </c>
      <c r="M79" s="397" t="e">
        <f>SUM(#REF!)</f>
        <v>#REF!</v>
      </c>
      <c r="N79" s="397" t="e">
        <f>SUM(#REF!)</f>
        <v>#REF!</v>
      </c>
      <c r="O79" s="397" t="e">
        <f>SUM(#REF!)</f>
        <v>#REF!</v>
      </c>
      <c r="P79" s="397" t="e">
        <f>SUM(#REF!)</f>
        <v>#REF!</v>
      </c>
      <c r="Q79" s="397" t="e">
        <f>SUM(#REF!)</f>
        <v>#REF!</v>
      </c>
      <c r="R79" s="397" t="e">
        <f>SUM(#REF!)</f>
        <v>#REF!</v>
      </c>
      <c r="S79" s="397" t="e">
        <f>SUM(#REF!)</f>
        <v>#REF!</v>
      </c>
      <c r="T79" s="397" t="e">
        <f>SUM(#REF!)</f>
        <v>#REF!</v>
      </c>
      <c r="U79" s="397" t="e">
        <f>SUM(#REF!)</f>
        <v>#REF!</v>
      </c>
      <c r="V79" s="397" t="e">
        <f>SUM(#REF!)</f>
        <v>#REF!</v>
      </c>
      <c r="W79" s="397" t="e">
        <f>SUM(#REF!)</f>
        <v>#REF!</v>
      </c>
      <c r="X79" s="397" t="e">
        <f>SUM(#REF!)</f>
        <v>#REF!</v>
      </c>
      <c r="Y79" s="397" t="e">
        <f>SUM(#REF!)</f>
        <v>#REF!</v>
      </c>
      <c r="Z79" s="397" t="e">
        <f>SUM(#REF!)</f>
        <v>#REF!</v>
      </c>
      <c r="AA79" s="397" t="e">
        <f>SUM(#REF!)</f>
        <v>#REF!</v>
      </c>
      <c r="AB79" s="397" t="e">
        <f>SUM(#REF!)</f>
        <v>#REF!</v>
      </c>
    </row>
    <row r="80" spans="1:28" ht="12.75">
      <c r="A80" s="23"/>
      <c r="B80" s="394" t="s">
        <v>34</v>
      </c>
      <c r="C80" s="395"/>
      <c r="D80" s="395"/>
      <c r="E80" s="396"/>
      <c r="F80" s="396"/>
      <c r="G80" s="396"/>
      <c r="H80" s="396"/>
      <c r="I80" s="396"/>
      <c r="J80" s="396"/>
      <c r="K80" s="397" t="e">
        <f>SUM(#REF!)</f>
        <v>#REF!</v>
      </c>
      <c r="L80" s="397" t="e">
        <f>SUM(#REF!)</f>
        <v>#REF!</v>
      </c>
      <c r="M80" s="397" t="e">
        <f>SUM(#REF!)</f>
        <v>#REF!</v>
      </c>
      <c r="N80" s="397" t="e">
        <f>SUM(#REF!)</f>
        <v>#REF!</v>
      </c>
      <c r="O80" s="397" t="e">
        <f>SUM(#REF!)</f>
        <v>#REF!</v>
      </c>
      <c r="P80" s="397" t="e">
        <f>SUM(#REF!)</f>
        <v>#REF!</v>
      </c>
      <c r="Q80" s="397" t="e">
        <f>SUM(#REF!)</f>
        <v>#REF!</v>
      </c>
      <c r="R80" s="397" t="e">
        <f>SUM(#REF!)</f>
        <v>#REF!</v>
      </c>
      <c r="S80" s="397" t="e">
        <f>SUM(#REF!)</f>
        <v>#REF!</v>
      </c>
      <c r="T80" s="397" t="e">
        <f>SUM(#REF!)</f>
        <v>#REF!</v>
      </c>
      <c r="U80" s="397" t="e">
        <f>SUM(#REF!)</f>
        <v>#REF!</v>
      </c>
      <c r="V80" s="397" t="e">
        <f>SUM(#REF!)</f>
        <v>#REF!</v>
      </c>
      <c r="W80" s="397" t="e">
        <f>SUM(#REF!)</f>
        <v>#REF!</v>
      </c>
      <c r="X80" s="397" t="e">
        <f>SUM(#REF!)</f>
        <v>#REF!</v>
      </c>
      <c r="Y80" s="397" t="e">
        <f>SUM(#REF!)</f>
        <v>#REF!</v>
      </c>
      <c r="Z80" s="397" t="e">
        <f>SUM(#REF!)</f>
        <v>#REF!</v>
      </c>
      <c r="AA80" s="397" t="e">
        <f>SUM(#REF!)</f>
        <v>#REF!</v>
      </c>
      <c r="AB80" s="397" t="e">
        <f>SUM(#REF!)</f>
        <v>#REF!</v>
      </c>
    </row>
    <row r="81" spans="1:28" ht="12.75">
      <c r="A81" s="23"/>
      <c r="B81" s="398"/>
      <c r="C81" s="399"/>
      <c r="D81" s="399"/>
      <c r="E81" s="396"/>
      <c r="F81" s="396"/>
      <c r="G81" s="396"/>
      <c r="H81" s="396"/>
      <c r="I81" s="396"/>
      <c r="J81" s="396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</row>
    <row r="82" spans="1:28" ht="12.75">
      <c r="A82" s="23"/>
      <c r="B82" s="394" t="s">
        <v>44</v>
      </c>
      <c r="C82" s="395"/>
      <c r="D82" s="395"/>
      <c r="E82" s="396"/>
      <c r="F82" s="396"/>
      <c r="G82" s="396"/>
      <c r="H82" s="396"/>
      <c r="I82" s="396"/>
      <c r="J82" s="396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</row>
    <row r="83" spans="1:28" ht="12.75">
      <c r="A83" s="23"/>
      <c r="B83" s="398" t="s">
        <v>33</v>
      </c>
      <c r="C83" s="399"/>
      <c r="D83" s="399"/>
      <c r="E83" s="396"/>
      <c r="F83" s="396"/>
      <c r="G83" s="396"/>
      <c r="H83" s="396"/>
      <c r="I83" s="396"/>
      <c r="J83" s="396"/>
      <c r="K83" s="397" t="e">
        <f>SUM(#REF!)</f>
        <v>#REF!</v>
      </c>
      <c r="L83" s="397" t="e">
        <f>SUM(#REF!)</f>
        <v>#REF!</v>
      </c>
      <c r="M83" s="397" t="e">
        <f>SUM(#REF!)</f>
        <v>#REF!</v>
      </c>
      <c r="N83" s="397" t="e">
        <f>SUM(#REF!)</f>
        <v>#REF!</v>
      </c>
      <c r="O83" s="397" t="e">
        <f>SUM(#REF!)</f>
        <v>#REF!</v>
      </c>
      <c r="P83" s="397" t="e">
        <f>SUM(#REF!)</f>
        <v>#REF!</v>
      </c>
      <c r="Q83" s="397" t="e">
        <f>SUM(#REF!)</f>
        <v>#REF!</v>
      </c>
      <c r="R83" s="397" t="e">
        <f>SUM(#REF!)</f>
        <v>#REF!</v>
      </c>
      <c r="S83" s="397" t="e">
        <f>SUM(#REF!)</f>
        <v>#REF!</v>
      </c>
      <c r="T83" s="397" t="e">
        <f>SUM(#REF!)</f>
        <v>#REF!</v>
      </c>
      <c r="U83" s="397" t="e">
        <f>SUM(#REF!)</f>
        <v>#REF!</v>
      </c>
      <c r="V83" s="397" t="e">
        <f>SUM(#REF!)</f>
        <v>#REF!</v>
      </c>
      <c r="W83" s="397" t="e">
        <f>SUM(#REF!)</f>
        <v>#REF!</v>
      </c>
      <c r="X83" s="397" t="e">
        <f>SUM(#REF!)</f>
        <v>#REF!</v>
      </c>
      <c r="Y83" s="397" t="e">
        <f>SUM(#REF!)</f>
        <v>#REF!</v>
      </c>
      <c r="Z83" s="397" t="e">
        <f>SUM(#REF!)</f>
        <v>#REF!</v>
      </c>
      <c r="AA83" s="397" t="e">
        <f>SUM(#REF!)</f>
        <v>#REF!</v>
      </c>
      <c r="AB83" s="397" t="e">
        <f>SUM(#REF!)</f>
        <v>#REF!</v>
      </c>
    </row>
    <row r="84" spans="1:28" ht="12.75">
      <c r="A84" s="23"/>
      <c r="B84" s="394" t="s">
        <v>34</v>
      </c>
      <c r="C84" s="395"/>
      <c r="D84" s="395"/>
      <c r="E84" s="396"/>
      <c r="F84" s="396"/>
      <c r="G84" s="396"/>
      <c r="H84" s="396"/>
      <c r="I84" s="396"/>
      <c r="J84" s="396"/>
      <c r="K84" s="397" t="e">
        <f>SUM(#REF!)</f>
        <v>#REF!</v>
      </c>
      <c r="L84" s="397" t="e">
        <f>SUM(#REF!)</f>
        <v>#REF!</v>
      </c>
      <c r="M84" s="397" t="e">
        <f>SUM(#REF!)</f>
        <v>#REF!</v>
      </c>
      <c r="N84" s="397" t="e">
        <f>SUM(#REF!)</f>
        <v>#REF!</v>
      </c>
      <c r="O84" s="397" t="e">
        <f>SUM(#REF!)</f>
        <v>#REF!</v>
      </c>
      <c r="P84" s="397" t="e">
        <f>SUM(#REF!)</f>
        <v>#REF!</v>
      </c>
      <c r="Q84" s="397" t="e">
        <f>SUM(#REF!)</f>
        <v>#REF!</v>
      </c>
      <c r="R84" s="397" t="e">
        <f>SUM(#REF!)</f>
        <v>#REF!</v>
      </c>
      <c r="S84" s="397" t="e">
        <f>SUM(#REF!)</f>
        <v>#REF!</v>
      </c>
      <c r="T84" s="397" t="e">
        <f>SUM(#REF!)</f>
        <v>#REF!</v>
      </c>
      <c r="U84" s="397" t="e">
        <f>SUM(#REF!)</f>
        <v>#REF!</v>
      </c>
      <c r="V84" s="397" t="e">
        <f>SUM(#REF!)</f>
        <v>#REF!</v>
      </c>
      <c r="W84" s="397" t="e">
        <f>SUM(#REF!)</f>
        <v>#REF!</v>
      </c>
      <c r="X84" s="397" t="e">
        <f>SUM(#REF!)</f>
        <v>#REF!</v>
      </c>
      <c r="Y84" s="397" t="e">
        <f>SUM(#REF!)</f>
        <v>#REF!</v>
      </c>
      <c r="Z84" s="397" t="e">
        <f>SUM(#REF!)</f>
        <v>#REF!</v>
      </c>
      <c r="AA84" s="397" t="e">
        <f>SUM(#REF!)</f>
        <v>#REF!</v>
      </c>
      <c r="AB84" s="397" t="e">
        <f>SUM(#REF!)</f>
        <v>#REF!</v>
      </c>
    </row>
    <row r="85" spans="1:28" ht="12.75">
      <c r="A85" s="23"/>
      <c r="B85" s="398"/>
      <c r="C85" s="399"/>
      <c r="D85" s="399"/>
      <c r="E85" s="396"/>
      <c r="F85" s="396"/>
      <c r="G85" s="396"/>
      <c r="H85" s="396"/>
      <c r="I85" s="396"/>
      <c r="J85" s="396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</row>
    <row r="86" spans="1:28" ht="12.75">
      <c r="A86" s="23"/>
      <c r="B86" s="400" t="s">
        <v>28</v>
      </c>
      <c r="C86" s="401"/>
      <c r="D86" s="401"/>
      <c r="E86" s="396"/>
      <c r="F86" s="396"/>
      <c r="G86" s="396"/>
      <c r="H86" s="396"/>
      <c r="I86" s="396"/>
      <c r="J86" s="396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</row>
    <row r="87" spans="1:28" ht="12.75">
      <c r="A87" s="23"/>
      <c r="B87" s="402" t="s">
        <v>33</v>
      </c>
      <c r="C87" s="403"/>
      <c r="D87" s="403"/>
      <c r="E87" s="404"/>
      <c r="F87" s="404"/>
      <c r="G87" s="404"/>
      <c r="H87" s="404"/>
      <c r="I87" s="404"/>
      <c r="J87" s="404"/>
      <c r="K87" s="405" t="e">
        <f>SUM(#REF!)</f>
        <v>#REF!</v>
      </c>
      <c r="L87" s="405" t="e">
        <f>SUM(#REF!)</f>
        <v>#REF!</v>
      </c>
      <c r="M87" s="405" t="e">
        <f>SUM(#REF!)</f>
        <v>#REF!</v>
      </c>
      <c r="N87" s="405" t="e">
        <f>SUM(#REF!)</f>
        <v>#REF!</v>
      </c>
      <c r="O87" s="405" t="e">
        <f>SUM(#REF!)</f>
        <v>#REF!</v>
      </c>
      <c r="P87" s="405" t="e">
        <f>SUM(#REF!)</f>
        <v>#REF!</v>
      </c>
      <c r="Q87" s="405" t="e">
        <f>SUM(#REF!)</f>
        <v>#REF!</v>
      </c>
      <c r="R87" s="405" t="e">
        <f>SUM(#REF!)</f>
        <v>#REF!</v>
      </c>
      <c r="S87" s="405" t="e">
        <f>SUM(#REF!)</f>
        <v>#REF!</v>
      </c>
      <c r="T87" s="405" t="e">
        <f>SUM(#REF!)</f>
        <v>#REF!</v>
      </c>
      <c r="U87" s="405" t="e">
        <f>SUM(#REF!)</f>
        <v>#REF!</v>
      </c>
      <c r="V87" s="405" t="e">
        <f>SUM(#REF!)</f>
        <v>#REF!</v>
      </c>
      <c r="W87" s="405" t="e">
        <f>SUM(#REF!)</f>
        <v>#REF!</v>
      </c>
      <c r="X87" s="405" t="e">
        <f>SUM(#REF!)</f>
        <v>#REF!</v>
      </c>
      <c r="Y87" s="405" t="e">
        <f>SUM(#REF!)</f>
        <v>#REF!</v>
      </c>
      <c r="Z87" s="405" t="e">
        <f>SUM(#REF!)</f>
        <v>#REF!</v>
      </c>
      <c r="AA87" s="405" t="e">
        <f>SUM(#REF!)</f>
        <v>#REF!</v>
      </c>
      <c r="AB87" s="405" t="e">
        <f>SUM(#REF!)</f>
        <v>#REF!</v>
      </c>
    </row>
    <row r="88" spans="1:28" ht="12.75">
      <c r="A88" s="23"/>
      <c r="B88" s="406" t="s">
        <v>34</v>
      </c>
      <c r="C88" s="407"/>
      <c r="D88" s="407"/>
      <c r="E88" s="404"/>
      <c r="F88" s="404"/>
      <c r="G88" s="404"/>
      <c r="H88" s="404"/>
      <c r="I88" s="404"/>
      <c r="J88" s="404"/>
      <c r="K88" s="405" t="e">
        <f>SUM(#REF!)</f>
        <v>#REF!</v>
      </c>
      <c r="L88" s="405" t="e">
        <f>SUM(#REF!)</f>
        <v>#REF!</v>
      </c>
      <c r="M88" s="405" t="e">
        <f>SUM(#REF!)</f>
        <v>#REF!</v>
      </c>
      <c r="N88" s="405" t="e">
        <f>SUM(#REF!)</f>
        <v>#REF!</v>
      </c>
      <c r="O88" s="405" t="e">
        <f>SUM(#REF!)</f>
        <v>#REF!</v>
      </c>
      <c r="P88" s="405" t="e">
        <f>SUM(#REF!)</f>
        <v>#REF!</v>
      </c>
      <c r="Q88" s="405" t="e">
        <f>SUM(#REF!)</f>
        <v>#REF!</v>
      </c>
      <c r="R88" s="405" t="e">
        <f>SUM(#REF!)</f>
        <v>#REF!</v>
      </c>
      <c r="S88" s="405" t="e">
        <f>SUM(#REF!)</f>
        <v>#REF!</v>
      </c>
      <c r="T88" s="405" t="e">
        <f>SUM(#REF!)</f>
        <v>#REF!</v>
      </c>
      <c r="U88" s="405" t="e">
        <f>SUM(#REF!)</f>
        <v>#REF!</v>
      </c>
      <c r="V88" s="405" t="e">
        <f>SUM(#REF!)</f>
        <v>#REF!</v>
      </c>
      <c r="W88" s="405" t="e">
        <f>SUM(#REF!)</f>
        <v>#REF!</v>
      </c>
      <c r="X88" s="405" t="e">
        <f>SUM(#REF!)</f>
        <v>#REF!</v>
      </c>
      <c r="Y88" s="405" t="e">
        <f>SUM(#REF!)</f>
        <v>#REF!</v>
      </c>
      <c r="Z88" s="405" t="e">
        <f>SUM(#REF!)</f>
        <v>#REF!</v>
      </c>
      <c r="AA88" s="405" t="e">
        <f>SUM(#REF!)</f>
        <v>#REF!</v>
      </c>
      <c r="AB88" s="405" t="e">
        <f>SUM(#REF!)</f>
        <v>#REF!</v>
      </c>
    </row>
    <row r="89" spans="1:28" ht="12.75">
      <c r="A89" s="23"/>
      <c r="B89" s="408"/>
      <c r="C89" s="358"/>
      <c r="D89" s="358"/>
      <c r="E89" s="409"/>
      <c r="F89" s="409"/>
      <c r="G89" s="409"/>
      <c r="H89" s="409"/>
      <c r="I89" s="409"/>
      <c r="J89" s="409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</row>
    <row r="90" spans="1:28" ht="12.75">
      <c r="A90" s="23"/>
      <c r="B90" s="411" t="s">
        <v>27</v>
      </c>
      <c r="C90" s="412"/>
      <c r="D90" s="412"/>
      <c r="E90" s="396"/>
      <c r="F90" s="396"/>
      <c r="G90" s="396"/>
      <c r="H90" s="396"/>
      <c r="I90" s="396"/>
      <c r="J90" s="396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</row>
    <row r="91" spans="1:28" ht="12.75">
      <c r="A91" s="23"/>
      <c r="B91" s="398" t="s">
        <v>33</v>
      </c>
      <c r="C91" s="399"/>
      <c r="D91" s="399"/>
      <c r="E91" s="396"/>
      <c r="F91" s="396"/>
      <c r="G91" s="396"/>
      <c r="H91" s="396"/>
      <c r="I91" s="396"/>
      <c r="J91" s="396"/>
      <c r="K91" s="397" t="e">
        <f>SUM(#REF!)</f>
        <v>#REF!</v>
      </c>
      <c r="L91" s="397" t="e">
        <f>SUM(#REF!)</f>
        <v>#REF!</v>
      </c>
      <c r="M91" s="397" t="e">
        <f>SUM(#REF!)</f>
        <v>#REF!</v>
      </c>
      <c r="N91" s="397" t="e">
        <f>SUM(#REF!)</f>
        <v>#REF!</v>
      </c>
      <c r="O91" s="397" t="e">
        <f>SUM(#REF!)</f>
        <v>#REF!</v>
      </c>
      <c r="P91" s="397" t="e">
        <f>SUM(#REF!)</f>
        <v>#REF!</v>
      </c>
      <c r="Q91" s="397" t="e">
        <f>SUM(#REF!)</f>
        <v>#REF!</v>
      </c>
      <c r="R91" s="397" t="e">
        <f>SUM(#REF!)</f>
        <v>#REF!</v>
      </c>
      <c r="S91" s="397" t="e">
        <f>SUM(#REF!)</f>
        <v>#REF!</v>
      </c>
      <c r="T91" s="397" t="e">
        <f>SUM(#REF!)</f>
        <v>#REF!</v>
      </c>
      <c r="U91" s="397" t="e">
        <f>SUM(#REF!)</f>
        <v>#REF!</v>
      </c>
      <c r="V91" s="397" t="e">
        <f>SUM(#REF!)</f>
        <v>#REF!</v>
      </c>
      <c r="W91" s="397" t="e">
        <f>SUM(#REF!)</f>
        <v>#REF!</v>
      </c>
      <c r="X91" s="397" t="e">
        <f>SUM(#REF!)</f>
        <v>#REF!</v>
      </c>
      <c r="Y91" s="397" t="e">
        <f>SUM(#REF!)</f>
        <v>#REF!</v>
      </c>
      <c r="Z91" s="397" t="e">
        <f>SUM(#REF!)</f>
        <v>#REF!</v>
      </c>
      <c r="AA91" s="397" t="e">
        <f>SUM(#REF!)</f>
        <v>#REF!</v>
      </c>
      <c r="AB91" s="397" t="e">
        <f>SUM(#REF!)</f>
        <v>#REF!</v>
      </c>
    </row>
    <row r="92" spans="1:28" ht="12.75">
      <c r="A92" s="23"/>
      <c r="B92" s="394" t="s">
        <v>34</v>
      </c>
      <c r="C92" s="395"/>
      <c r="D92" s="395"/>
      <c r="E92" s="396"/>
      <c r="F92" s="396"/>
      <c r="G92" s="396"/>
      <c r="H92" s="396"/>
      <c r="I92" s="396"/>
      <c r="J92" s="396"/>
      <c r="K92" s="397" t="e">
        <f>SUM(#REF!)</f>
        <v>#REF!</v>
      </c>
      <c r="L92" s="397" t="e">
        <f>SUM(#REF!)</f>
        <v>#REF!</v>
      </c>
      <c r="M92" s="397" t="e">
        <f>SUM(#REF!)</f>
        <v>#REF!</v>
      </c>
      <c r="N92" s="397" t="e">
        <f>SUM(#REF!)</f>
        <v>#REF!</v>
      </c>
      <c r="O92" s="397" t="e">
        <f>SUM(#REF!)</f>
        <v>#REF!</v>
      </c>
      <c r="P92" s="397" t="e">
        <f>SUM(#REF!)</f>
        <v>#REF!</v>
      </c>
      <c r="Q92" s="397" t="e">
        <f>SUM(#REF!)</f>
        <v>#REF!</v>
      </c>
      <c r="R92" s="397" t="e">
        <f>SUM(#REF!)</f>
        <v>#REF!</v>
      </c>
      <c r="S92" s="397" t="e">
        <f>SUM(#REF!)</f>
        <v>#REF!</v>
      </c>
      <c r="T92" s="397" t="e">
        <f>SUM(#REF!)</f>
        <v>#REF!</v>
      </c>
      <c r="U92" s="397" t="e">
        <f>SUM(#REF!)</f>
        <v>#REF!</v>
      </c>
      <c r="V92" s="397" t="e">
        <f>SUM(#REF!)</f>
        <v>#REF!</v>
      </c>
      <c r="W92" s="397" t="e">
        <f>SUM(#REF!)</f>
        <v>#REF!</v>
      </c>
      <c r="X92" s="397" t="e">
        <f>SUM(#REF!)</f>
        <v>#REF!</v>
      </c>
      <c r="Y92" s="397" t="e">
        <f>SUM(#REF!)</f>
        <v>#REF!</v>
      </c>
      <c r="Z92" s="397" t="e">
        <f>SUM(#REF!)</f>
        <v>#REF!</v>
      </c>
      <c r="AA92" s="397" t="e">
        <f>SUM(#REF!)</f>
        <v>#REF!</v>
      </c>
      <c r="AB92" s="397" t="e">
        <f>SUM(#REF!)</f>
        <v>#REF!</v>
      </c>
    </row>
    <row r="93" spans="1:28" ht="12.75">
      <c r="A93" s="23"/>
      <c r="B93" s="394"/>
      <c r="C93" s="395"/>
      <c r="D93" s="395"/>
      <c r="E93" s="396"/>
      <c r="F93" s="396"/>
      <c r="G93" s="396"/>
      <c r="H93" s="396"/>
      <c r="I93" s="396"/>
      <c r="J93" s="396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</row>
    <row r="94" spans="1:28" ht="12.75">
      <c r="A94" s="23"/>
      <c r="B94" s="406" t="s">
        <v>45</v>
      </c>
      <c r="C94" s="407"/>
      <c r="D94" s="407"/>
      <c r="E94" s="396"/>
      <c r="F94" s="396"/>
      <c r="G94" s="396"/>
      <c r="H94" s="396"/>
      <c r="I94" s="396"/>
      <c r="J94" s="396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</row>
    <row r="95" spans="1:28" ht="12.75">
      <c r="A95" s="23"/>
      <c r="B95" s="402" t="s">
        <v>33</v>
      </c>
      <c r="C95" s="403"/>
      <c r="D95" s="403"/>
      <c r="E95" s="413"/>
      <c r="F95" s="413"/>
      <c r="G95" s="413"/>
      <c r="H95" s="413"/>
      <c r="I95" s="413"/>
      <c r="J95" s="413"/>
      <c r="K95" s="414" t="e">
        <f aca="true" t="shared" si="19" ref="K95:O96">+K87+K91</f>
        <v>#REF!</v>
      </c>
      <c r="L95" s="414" t="e">
        <f t="shared" si="19"/>
        <v>#REF!</v>
      </c>
      <c r="M95" s="414" t="e">
        <f t="shared" si="19"/>
        <v>#REF!</v>
      </c>
      <c r="N95" s="414" t="e">
        <f t="shared" si="19"/>
        <v>#REF!</v>
      </c>
      <c r="O95" s="414" t="e">
        <f t="shared" si="19"/>
        <v>#REF!</v>
      </c>
      <c r="P95" s="414" t="e">
        <f>+P87+P91</f>
        <v>#REF!</v>
      </c>
      <c r="Q95" s="414" t="e">
        <f aca="true" t="shared" si="20" ref="Q95:X95">+Q87+Q91</f>
        <v>#REF!</v>
      </c>
      <c r="R95" s="414" t="e">
        <f t="shared" si="20"/>
        <v>#REF!</v>
      </c>
      <c r="S95" s="414" t="e">
        <f t="shared" si="20"/>
        <v>#REF!</v>
      </c>
      <c r="T95" s="414" t="e">
        <f t="shared" si="20"/>
        <v>#REF!</v>
      </c>
      <c r="U95" s="414" t="e">
        <f t="shared" si="20"/>
        <v>#REF!</v>
      </c>
      <c r="V95" s="414" t="e">
        <f t="shared" si="20"/>
        <v>#REF!</v>
      </c>
      <c r="W95" s="414" t="e">
        <f t="shared" si="20"/>
        <v>#REF!</v>
      </c>
      <c r="X95" s="414" t="e">
        <f t="shared" si="20"/>
        <v>#REF!</v>
      </c>
      <c r="Y95" s="414" t="e">
        <f aca="true" t="shared" si="21" ref="Y95:AB96">+Y87+Y91</f>
        <v>#REF!</v>
      </c>
      <c r="Z95" s="414" t="e">
        <f t="shared" si="21"/>
        <v>#REF!</v>
      </c>
      <c r="AA95" s="414" t="e">
        <f t="shared" si="21"/>
        <v>#REF!</v>
      </c>
      <c r="AB95" s="414" t="e">
        <f t="shared" si="21"/>
        <v>#REF!</v>
      </c>
    </row>
    <row r="96" spans="1:28" ht="12.75">
      <c r="A96" s="23"/>
      <c r="B96" s="406" t="s">
        <v>34</v>
      </c>
      <c r="C96" s="407"/>
      <c r="D96" s="407"/>
      <c r="E96" s="413"/>
      <c r="F96" s="413"/>
      <c r="G96" s="413"/>
      <c r="H96" s="413"/>
      <c r="I96" s="413"/>
      <c r="J96" s="413"/>
      <c r="K96" s="414" t="e">
        <f t="shared" si="19"/>
        <v>#REF!</v>
      </c>
      <c r="L96" s="414" t="e">
        <f t="shared" si="19"/>
        <v>#REF!</v>
      </c>
      <c r="M96" s="414" t="e">
        <f t="shared" si="19"/>
        <v>#REF!</v>
      </c>
      <c r="N96" s="414" t="e">
        <f t="shared" si="19"/>
        <v>#REF!</v>
      </c>
      <c r="O96" s="414" t="e">
        <f t="shared" si="19"/>
        <v>#REF!</v>
      </c>
      <c r="P96" s="414" t="e">
        <f>+P88+P92</f>
        <v>#REF!</v>
      </c>
      <c r="Q96" s="414" t="e">
        <f aca="true" t="shared" si="22" ref="Q96:X96">+Q88+Q92</f>
        <v>#REF!</v>
      </c>
      <c r="R96" s="414" t="e">
        <f t="shared" si="22"/>
        <v>#REF!</v>
      </c>
      <c r="S96" s="414" t="e">
        <f t="shared" si="22"/>
        <v>#REF!</v>
      </c>
      <c r="T96" s="414" t="e">
        <f t="shared" si="22"/>
        <v>#REF!</v>
      </c>
      <c r="U96" s="414" t="e">
        <f t="shared" si="22"/>
        <v>#REF!</v>
      </c>
      <c r="V96" s="414" t="e">
        <f t="shared" si="22"/>
        <v>#REF!</v>
      </c>
      <c r="W96" s="414" t="e">
        <f t="shared" si="22"/>
        <v>#REF!</v>
      </c>
      <c r="X96" s="414" t="e">
        <f t="shared" si="22"/>
        <v>#REF!</v>
      </c>
      <c r="Y96" s="414" t="e">
        <f t="shared" si="21"/>
        <v>#REF!</v>
      </c>
      <c r="Z96" s="414" t="e">
        <f t="shared" si="21"/>
        <v>#REF!</v>
      </c>
      <c r="AA96" s="414" t="e">
        <f t="shared" si="21"/>
        <v>#REF!</v>
      </c>
      <c r="AB96" s="414" t="e">
        <f t="shared" si="21"/>
        <v>#REF!</v>
      </c>
    </row>
    <row r="97" spans="1:28" ht="13.5" thickBot="1">
      <c r="A97" s="23"/>
      <c r="B97" s="293"/>
      <c r="C97" s="289"/>
      <c r="D97" s="289"/>
      <c r="E97" s="415"/>
      <c r="F97" s="415"/>
      <c r="G97" s="415"/>
      <c r="H97" s="415"/>
      <c r="I97" s="415"/>
      <c r="J97" s="415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</row>
    <row r="98" spans="1:28" ht="13.5" thickTop="1">
      <c r="A98" s="23"/>
      <c r="B98" s="1" t="s">
        <v>40</v>
      </c>
      <c r="C98" s="1"/>
      <c r="D98" s="1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10.21484375" defaultRowHeight="15"/>
  <cols>
    <col min="1" max="16384" width="10.21484375" style="366" customWidth="1"/>
  </cols>
  <sheetData>
    <row r="1" ht="12.75">
      <c r="A1" s="365" t="s">
        <v>179</v>
      </c>
    </row>
    <row r="2" ht="12.75">
      <c r="A2" s="365"/>
    </row>
    <row r="3" spans="1:14" ht="12.75">
      <c r="A3" s="367" t="s">
        <v>180</v>
      </c>
      <c r="B3" s="368">
        <v>1996</v>
      </c>
      <c r="C3" s="368">
        <v>1997</v>
      </c>
      <c r="D3" s="368">
        <v>1998</v>
      </c>
      <c r="E3" s="368">
        <v>1999</v>
      </c>
      <c r="F3" s="368">
        <v>2000</v>
      </c>
      <c r="G3" s="368">
        <v>2001</v>
      </c>
      <c r="H3" s="368">
        <v>2002</v>
      </c>
      <c r="I3" s="368">
        <v>2003</v>
      </c>
      <c r="J3" s="368">
        <v>2004</v>
      </c>
      <c r="K3" s="368">
        <v>2005</v>
      </c>
      <c r="L3" s="368">
        <v>2006</v>
      </c>
      <c r="M3" s="368">
        <v>2007</v>
      </c>
      <c r="N3" s="368">
        <v>2008</v>
      </c>
    </row>
    <row r="4" spans="1:14" ht="12.75">
      <c r="A4" s="369" t="s">
        <v>21</v>
      </c>
      <c r="B4" s="370">
        <v>3197665</v>
      </c>
      <c r="C4" s="370">
        <v>13241815</v>
      </c>
      <c r="D4" s="370">
        <v>14757294</v>
      </c>
      <c r="E4" s="370">
        <v>8853895</v>
      </c>
      <c r="F4" s="370">
        <v>9238654</v>
      </c>
      <c r="G4" s="370">
        <v>13750666</v>
      </c>
      <c r="H4" s="370">
        <v>10072611</v>
      </c>
      <c r="I4" s="370">
        <v>9286082</v>
      </c>
      <c r="J4" s="370">
        <v>8731340</v>
      </c>
      <c r="K4" s="370">
        <v>11271253</v>
      </c>
      <c r="L4" s="370">
        <v>11148716</v>
      </c>
      <c r="M4" s="370">
        <v>13904534</v>
      </c>
      <c r="N4" s="370">
        <v>13678308</v>
      </c>
    </row>
    <row r="5" spans="1:14" s="373" customFormat="1" ht="12.75">
      <c r="A5" s="371" t="s">
        <v>25</v>
      </c>
      <c r="B5" s="372">
        <v>3861372</v>
      </c>
      <c r="C5" s="372">
        <v>5090827</v>
      </c>
      <c r="D5" s="372">
        <v>6012460</v>
      </c>
      <c r="E5" s="372">
        <v>6748886</v>
      </c>
      <c r="F5" s="372">
        <v>7131985</v>
      </c>
      <c r="G5" s="372">
        <v>8654967</v>
      </c>
      <c r="H5" s="372">
        <v>7524818</v>
      </c>
      <c r="I5" s="372">
        <v>8304331</v>
      </c>
      <c r="J5" s="372">
        <v>7079048</v>
      </c>
      <c r="K5" s="372">
        <v>8568525</v>
      </c>
      <c r="L5" s="372">
        <v>8882328</v>
      </c>
      <c r="M5" s="372">
        <v>8983909</v>
      </c>
      <c r="N5" s="372">
        <v>8416102</v>
      </c>
    </row>
    <row r="6" spans="1:14" s="373" customFormat="1" ht="12.75">
      <c r="A6" s="374" t="s">
        <v>17</v>
      </c>
      <c r="B6" s="375">
        <v>4506798</v>
      </c>
      <c r="C6" s="375">
        <v>6169810</v>
      </c>
      <c r="D6" s="375">
        <v>7476801</v>
      </c>
      <c r="E6" s="375">
        <v>6883305</v>
      </c>
      <c r="F6" s="375">
        <v>7367235</v>
      </c>
      <c r="G6" s="375">
        <v>8332035</v>
      </c>
      <c r="H6" s="375">
        <v>7333224</v>
      </c>
      <c r="I6" s="375">
        <v>7947499</v>
      </c>
      <c r="J6" s="375">
        <v>6912341</v>
      </c>
      <c r="K6" s="375">
        <v>7802875</v>
      </c>
      <c r="L6" s="375">
        <v>8070487</v>
      </c>
      <c r="M6" s="375">
        <v>9209332</v>
      </c>
      <c r="N6" s="375">
        <v>8563521</v>
      </c>
    </row>
    <row r="7" spans="1:14" s="373" customFormat="1" ht="12.75">
      <c r="A7" s="374" t="s">
        <v>20</v>
      </c>
      <c r="B7" s="375">
        <v>596555</v>
      </c>
      <c r="C7" s="375">
        <v>2665619</v>
      </c>
      <c r="D7" s="375">
        <v>3250502</v>
      </c>
      <c r="E7" s="375">
        <v>3680837</v>
      </c>
      <c r="F7" s="375">
        <v>3378584</v>
      </c>
      <c r="G7" s="375">
        <v>4137750</v>
      </c>
      <c r="H7" s="375">
        <v>3843546</v>
      </c>
      <c r="I7" s="375">
        <v>3889086</v>
      </c>
      <c r="J7" s="375">
        <v>3376914</v>
      </c>
      <c r="K7" s="375">
        <v>3535977</v>
      </c>
      <c r="L7" s="375">
        <v>4326502</v>
      </c>
      <c r="M7" s="375">
        <v>6870547</v>
      </c>
      <c r="N7" s="375">
        <v>7411882</v>
      </c>
    </row>
    <row r="8" spans="1:14" s="373" customFormat="1" ht="12.75">
      <c r="A8" s="374" t="s">
        <v>19</v>
      </c>
      <c r="B8" s="375">
        <v>2162348</v>
      </c>
      <c r="C8" s="375">
        <v>4482851</v>
      </c>
      <c r="D8" s="375">
        <v>5592905</v>
      </c>
      <c r="E8" s="375">
        <v>4957739</v>
      </c>
      <c r="F8" s="375">
        <v>4858956</v>
      </c>
      <c r="G8" s="375">
        <v>6504863</v>
      </c>
      <c r="H8" s="375">
        <v>5103335</v>
      </c>
      <c r="I8" s="375">
        <v>5943801</v>
      </c>
      <c r="J8" s="375">
        <v>5267756</v>
      </c>
      <c r="K8" s="375">
        <v>4968648</v>
      </c>
      <c r="L8" s="375">
        <v>5848124</v>
      </c>
      <c r="M8" s="375">
        <v>7409745</v>
      </c>
      <c r="N8" s="375">
        <v>7451741</v>
      </c>
    </row>
    <row r="9" spans="1:14" s="373" customFormat="1" ht="12.75">
      <c r="A9" s="374" t="s">
        <v>24</v>
      </c>
      <c r="B9" s="375">
        <v>3946564</v>
      </c>
      <c r="C9" s="375">
        <v>4039522</v>
      </c>
      <c r="D9" s="375">
        <v>4829842</v>
      </c>
      <c r="E9" s="375">
        <v>5055702</v>
      </c>
      <c r="F9" s="375">
        <v>4733801</v>
      </c>
      <c r="G9" s="375">
        <v>5685229</v>
      </c>
      <c r="H9" s="375">
        <v>4446233</v>
      </c>
      <c r="I9" s="375">
        <v>6027139</v>
      </c>
      <c r="J9" s="375">
        <v>5770962</v>
      </c>
      <c r="K9" s="375">
        <v>6613999</v>
      </c>
      <c r="L9" s="375">
        <v>3974990</v>
      </c>
      <c r="M9" s="375">
        <v>0</v>
      </c>
      <c r="N9" s="375">
        <v>0</v>
      </c>
    </row>
    <row r="10" spans="1:14" s="373" customFormat="1" ht="12.75">
      <c r="A10" s="374" t="s">
        <v>22</v>
      </c>
      <c r="B10" s="375">
        <v>1090765</v>
      </c>
      <c r="C10" s="375">
        <v>1556734</v>
      </c>
      <c r="D10" s="375">
        <v>2000626</v>
      </c>
      <c r="E10" s="375">
        <v>2054582</v>
      </c>
      <c r="F10" s="375">
        <v>2601349</v>
      </c>
      <c r="G10" s="375">
        <v>3133698</v>
      </c>
      <c r="H10" s="375">
        <v>2641810</v>
      </c>
      <c r="I10" s="375">
        <v>2700023</v>
      </c>
      <c r="J10" s="375">
        <v>2794659</v>
      </c>
      <c r="K10" s="375">
        <v>3538853</v>
      </c>
      <c r="L10" s="375">
        <v>2339116</v>
      </c>
      <c r="M10" s="375">
        <v>0</v>
      </c>
      <c r="N10" s="375">
        <v>0</v>
      </c>
    </row>
    <row r="11" spans="1:14" s="373" customFormat="1" ht="12.75">
      <c r="A11" s="374" t="s">
        <v>23</v>
      </c>
      <c r="B11" s="375">
        <v>4585741</v>
      </c>
      <c r="C11" s="375">
        <v>4939378</v>
      </c>
      <c r="D11" s="375">
        <v>3070390</v>
      </c>
      <c r="E11" s="375">
        <v>4703001</v>
      </c>
      <c r="F11" s="375">
        <v>4474091</v>
      </c>
      <c r="G11" s="375">
        <v>5330827</v>
      </c>
      <c r="H11" s="375">
        <v>4505966</v>
      </c>
      <c r="I11" s="375">
        <v>5139920</v>
      </c>
      <c r="J11" s="375">
        <v>4242623</v>
      </c>
      <c r="K11" s="375">
        <v>0</v>
      </c>
      <c r="L11" s="375">
        <v>0</v>
      </c>
      <c r="M11" s="375">
        <v>0</v>
      </c>
      <c r="N11" s="375">
        <v>0</v>
      </c>
    </row>
    <row r="12" spans="1:14" s="373" customFormat="1" ht="12.75">
      <c r="A12" s="374" t="s">
        <v>18</v>
      </c>
      <c r="B12" s="375">
        <v>4048635</v>
      </c>
      <c r="C12" s="375">
        <v>3761377</v>
      </c>
      <c r="D12" s="375">
        <v>4845697</v>
      </c>
      <c r="E12" s="375">
        <v>3188540</v>
      </c>
      <c r="F12" s="375">
        <v>3285896</v>
      </c>
      <c r="G12" s="375">
        <v>5107631</v>
      </c>
      <c r="H12" s="375">
        <v>4616856</v>
      </c>
      <c r="I12" s="375">
        <v>5051689</v>
      </c>
      <c r="J12" s="375">
        <v>4726258</v>
      </c>
      <c r="K12" s="375">
        <v>5302738</v>
      </c>
      <c r="L12" s="375">
        <v>5069642</v>
      </c>
      <c r="M12" s="375">
        <v>7211168</v>
      </c>
      <c r="N12" s="375">
        <v>7462706</v>
      </c>
    </row>
    <row r="13" spans="1:14" s="373" customFormat="1" ht="12.75">
      <c r="A13" s="374" t="s">
        <v>112</v>
      </c>
      <c r="B13" s="375">
        <v>0</v>
      </c>
      <c r="C13" s="375">
        <v>0</v>
      </c>
      <c r="D13" s="375">
        <v>928359</v>
      </c>
      <c r="E13" s="375">
        <v>1535612</v>
      </c>
      <c r="F13" s="375">
        <v>1235695</v>
      </c>
      <c r="G13" s="375">
        <v>1989161</v>
      </c>
      <c r="H13" s="375">
        <v>1795139</v>
      </c>
      <c r="I13" s="375">
        <v>2320895</v>
      </c>
      <c r="J13" s="375">
        <v>1935155</v>
      </c>
      <c r="K13" s="375">
        <v>1919587</v>
      </c>
      <c r="L13" s="375">
        <v>244355</v>
      </c>
      <c r="M13" s="375">
        <v>0</v>
      </c>
      <c r="N13" s="375">
        <v>0</v>
      </c>
    </row>
    <row r="14" spans="1:14" s="373" customFormat="1" ht="12.75">
      <c r="A14" s="374" t="s">
        <v>181</v>
      </c>
      <c r="B14" s="375">
        <v>273933</v>
      </c>
      <c r="C14" s="375">
        <v>0</v>
      </c>
      <c r="D14" s="375">
        <v>0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6"/>
      <c r="L14" s="375">
        <v>0</v>
      </c>
      <c r="M14" s="375">
        <v>0</v>
      </c>
      <c r="N14" s="375">
        <v>0</v>
      </c>
    </row>
    <row r="15" spans="1:14" s="373" customFormat="1" ht="12.75">
      <c r="A15" s="374" t="s">
        <v>182</v>
      </c>
      <c r="B15" s="377">
        <v>28270376</v>
      </c>
      <c r="C15" s="377">
        <v>45947933</v>
      </c>
      <c r="D15" s="377">
        <v>52764876</v>
      </c>
      <c r="E15" s="377">
        <v>47662099</v>
      </c>
      <c r="F15" s="377">
        <v>48306246</v>
      </c>
      <c r="G15" s="377">
        <v>62626827</v>
      </c>
      <c r="H15" s="377">
        <v>51883538</v>
      </c>
      <c r="I15" s="377">
        <v>56610465</v>
      </c>
      <c r="J15" s="377">
        <v>50837056</v>
      </c>
      <c r="K15" s="377">
        <v>53522455</v>
      </c>
      <c r="L15" s="377">
        <v>49904260</v>
      </c>
      <c r="M15" s="377">
        <v>53589235</v>
      </c>
      <c r="N15" s="377">
        <v>52984260</v>
      </c>
    </row>
    <row r="16" spans="1:14" s="373" customFormat="1" ht="12.75">
      <c r="A16" s="374" t="s">
        <v>183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5">
        <v>2077457</v>
      </c>
      <c r="M16" s="375">
        <v>2668913</v>
      </c>
      <c r="N16" s="375">
        <v>2551519</v>
      </c>
    </row>
    <row r="17" spans="1:14" s="373" customFormat="1" ht="12.75">
      <c r="A17" s="374" t="s">
        <v>57</v>
      </c>
      <c r="B17" s="375">
        <v>8653537</v>
      </c>
      <c r="C17" s="375">
        <v>9095169</v>
      </c>
      <c r="D17" s="375">
        <v>8931818</v>
      </c>
      <c r="E17" s="375">
        <v>6432361</v>
      </c>
      <c r="F17" s="375">
        <v>10933341</v>
      </c>
      <c r="G17" s="375">
        <v>11235672</v>
      </c>
      <c r="H17" s="375">
        <v>9663934</v>
      </c>
      <c r="I17" s="375">
        <v>8194730</v>
      </c>
      <c r="J17" s="375">
        <v>7257937</v>
      </c>
      <c r="K17" s="375">
        <v>9160857</v>
      </c>
      <c r="L17" s="375">
        <v>8363615</v>
      </c>
      <c r="M17" s="375">
        <v>10779740</v>
      </c>
      <c r="N17" s="375">
        <v>12373187</v>
      </c>
    </row>
    <row r="18" spans="1:14" s="373" customFormat="1" ht="12.75">
      <c r="A18" s="374" t="s">
        <v>27</v>
      </c>
      <c r="B18" s="375">
        <v>3569995</v>
      </c>
      <c r="C18" s="375">
        <v>3443740</v>
      </c>
      <c r="D18" s="375">
        <v>3711912</v>
      </c>
      <c r="E18" s="375">
        <v>2620674</v>
      </c>
      <c r="F18" s="375">
        <v>3621555</v>
      </c>
      <c r="G18" s="375">
        <v>3899933</v>
      </c>
      <c r="H18" s="375">
        <v>3372866</v>
      </c>
      <c r="I18" s="375">
        <v>2477315</v>
      </c>
      <c r="J18" s="375">
        <v>2641513</v>
      </c>
      <c r="K18" s="375">
        <v>3448056</v>
      </c>
      <c r="L18" s="375">
        <v>3144716</v>
      </c>
      <c r="M18" s="375">
        <v>4523021</v>
      </c>
      <c r="N18" s="376">
        <v>2923300</v>
      </c>
    </row>
    <row r="19" spans="1:14" s="373" customFormat="1" ht="12.75">
      <c r="A19" s="374" t="s">
        <v>184</v>
      </c>
      <c r="B19" s="375">
        <v>0</v>
      </c>
      <c r="C19" s="375">
        <v>0</v>
      </c>
      <c r="D19" s="375">
        <v>0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806242</v>
      </c>
      <c r="K19" s="375">
        <v>5437043</v>
      </c>
      <c r="L19" s="375">
        <v>5846109</v>
      </c>
      <c r="M19" s="375">
        <v>6583270</v>
      </c>
      <c r="N19" s="375">
        <v>7550706</v>
      </c>
    </row>
    <row r="20" spans="1:14" s="373" customFormat="1" ht="12.75">
      <c r="A20" s="374" t="s">
        <v>185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5">
        <v>2264835</v>
      </c>
      <c r="M20" s="375">
        <v>5228341</v>
      </c>
      <c r="N20" s="375">
        <v>5094844</v>
      </c>
    </row>
    <row r="21" spans="1:14" s="373" customFormat="1" ht="12.75">
      <c r="A21" s="379" t="s">
        <v>186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1">
        <v>1407267</v>
      </c>
      <c r="M21" s="381">
        <v>4538952</v>
      </c>
      <c r="N21" s="381">
        <v>5143871</v>
      </c>
    </row>
    <row r="22" spans="1:14" ht="12.75">
      <c r="A22" s="367" t="s">
        <v>187</v>
      </c>
      <c r="B22" s="382">
        <v>40493908</v>
      </c>
      <c r="C22" s="382">
        <v>58486842</v>
      </c>
      <c r="D22" s="382">
        <v>65408606</v>
      </c>
      <c r="E22" s="382">
        <v>56715134</v>
      </c>
      <c r="F22" s="382">
        <v>62861142</v>
      </c>
      <c r="G22" s="382">
        <v>77762432</v>
      </c>
      <c r="H22" s="382">
        <v>64920338</v>
      </c>
      <c r="I22" s="382">
        <v>67282510</v>
      </c>
      <c r="J22" s="382">
        <v>61542748</v>
      </c>
      <c r="K22" s="382">
        <v>71568411</v>
      </c>
      <c r="L22" s="382">
        <v>73008259</v>
      </c>
      <c r="M22" s="382">
        <v>87911472</v>
      </c>
      <c r="N22" s="382">
        <v>85698387</v>
      </c>
    </row>
    <row r="23" spans="1:8" ht="12.75">
      <c r="A23" s="365" t="s">
        <v>188</v>
      </c>
      <c r="B23" s="383"/>
      <c r="C23" s="383"/>
      <c r="D23" s="383"/>
      <c r="E23" s="383"/>
      <c r="F23" s="383"/>
      <c r="G23" s="383"/>
      <c r="H23" s="383"/>
    </row>
    <row r="29" s="373" customFormat="1" ht="12.75"/>
    <row r="30" spans="1:14" s="373" customFormat="1" ht="12.75">
      <c r="A30" s="384" t="s">
        <v>180</v>
      </c>
      <c r="B30" s="385">
        <v>1996</v>
      </c>
      <c r="C30" s="385">
        <v>1997</v>
      </c>
      <c r="D30" s="385">
        <v>1998</v>
      </c>
      <c r="E30" s="385">
        <v>1999</v>
      </c>
      <c r="F30" s="385">
        <v>2000</v>
      </c>
      <c r="G30" s="385">
        <v>2001</v>
      </c>
      <c r="H30" s="385">
        <v>2002</v>
      </c>
      <c r="I30" s="385">
        <v>2003</v>
      </c>
      <c r="J30" s="385">
        <v>2004</v>
      </c>
      <c r="K30" s="385">
        <v>2005</v>
      </c>
      <c r="L30" s="385">
        <v>2006</v>
      </c>
      <c r="M30" s="385">
        <v>2007</v>
      </c>
      <c r="N30" s="385">
        <v>2008</v>
      </c>
    </row>
    <row r="31" spans="1:14" s="373" customFormat="1" ht="12.75">
      <c r="A31" s="384" t="s">
        <v>187</v>
      </c>
      <c r="B31" s="386">
        <v>40493908</v>
      </c>
      <c r="C31" s="386">
        <v>58486842</v>
      </c>
      <c r="D31" s="386">
        <v>65408606</v>
      </c>
      <c r="E31" s="386">
        <v>56715134</v>
      </c>
      <c r="F31" s="386">
        <v>62861142</v>
      </c>
      <c r="G31" s="386">
        <v>77762432</v>
      </c>
      <c r="H31" s="386">
        <v>64920338</v>
      </c>
      <c r="I31" s="386">
        <v>67282510</v>
      </c>
      <c r="J31" s="386">
        <v>61542748</v>
      </c>
      <c r="K31" s="386">
        <v>71568411</v>
      </c>
      <c r="L31" s="386">
        <v>73008259</v>
      </c>
      <c r="M31" s="386">
        <v>87911472</v>
      </c>
      <c r="N31" s="386">
        <v>85698387</v>
      </c>
    </row>
    <row r="32" s="373" customFormat="1" ht="12.75"/>
    <row r="33" s="373" customFormat="1" ht="12.75"/>
    <row r="34" s="373" customFormat="1" ht="12.75"/>
    <row r="35" s="373" customFormat="1" ht="12.75"/>
    <row r="36" s="373" customFormat="1" ht="12.75"/>
    <row r="37" s="373" customFormat="1" ht="12.75"/>
    <row r="38" s="373" customFormat="1" ht="12.75"/>
    <row r="39" s="373" customFormat="1" ht="12.75"/>
    <row r="40" s="373" customFormat="1" ht="12.75"/>
    <row r="41" s="373" customFormat="1" ht="12.75"/>
    <row r="42" s="373" customFormat="1" ht="12.75"/>
    <row r="43" s="373" customFormat="1" ht="12.75"/>
    <row r="44" s="373" customFormat="1" ht="12.75"/>
    <row r="45" s="373" customFormat="1" ht="12.75"/>
    <row r="46" s="373" customFormat="1" ht="12.75"/>
    <row r="47" s="373" customFormat="1" ht="12.75"/>
    <row r="48" s="373" customFormat="1" ht="12.75"/>
    <row r="49" s="373" customFormat="1" ht="12.75"/>
    <row r="50" s="373" customFormat="1" ht="12.75"/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T101"/>
  <sheetViews>
    <sheetView zoomScalePageLayoutView="0" workbookViewId="0" topLeftCell="A1">
      <selection activeCell="G1" sqref="G1"/>
    </sheetView>
  </sheetViews>
  <sheetFormatPr defaultColWidth="11.5546875" defaultRowHeight="15"/>
  <cols>
    <col min="1" max="1" width="10.77734375" style="173" customWidth="1"/>
    <col min="2" max="2" width="6.21484375" style="173" customWidth="1"/>
    <col min="3" max="3" width="5.77734375" style="173" customWidth="1"/>
    <col min="4" max="4" width="6.3359375" style="173" customWidth="1"/>
    <col min="5" max="5" width="6.77734375" style="173" bestFit="1" customWidth="1"/>
    <col min="6" max="7" width="7.77734375" style="173" bestFit="1" customWidth="1"/>
    <col min="8" max="8" width="7.4453125" style="173" customWidth="1"/>
    <col min="9" max="9" width="6.5546875" style="173" customWidth="1"/>
    <col min="10" max="10" width="7.21484375" style="173" customWidth="1"/>
    <col min="11" max="11" width="7.4453125" style="173" customWidth="1"/>
    <col min="12" max="13" width="8.3359375" style="173" customWidth="1"/>
    <col min="14" max="14" width="8.4453125" style="173" customWidth="1"/>
    <col min="15" max="16384" width="11.5546875" style="173" customWidth="1"/>
  </cols>
  <sheetData>
    <row r="2" spans="1:14" ht="15.75">
      <c r="A2" s="186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5.75">
      <c r="A3" s="174"/>
      <c r="B3" s="175" t="s">
        <v>69</v>
      </c>
      <c r="C3" s="176" t="s">
        <v>70</v>
      </c>
      <c r="D3" s="176" t="s">
        <v>74</v>
      </c>
      <c r="E3" s="176" t="s">
        <v>75</v>
      </c>
      <c r="F3" s="176" t="s">
        <v>71</v>
      </c>
      <c r="G3" s="176" t="s">
        <v>78</v>
      </c>
      <c r="H3" s="176" t="s">
        <v>76</v>
      </c>
      <c r="I3" s="176" t="s">
        <v>72</v>
      </c>
      <c r="J3" s="176" t="s">
        <v>77</v>
      </c>
      <c r="K3" s="176" t="s">
        <v>48</v>
      </c>
      <c r="L3" s="176" t="s">
        <v>49</v>
      </c>
      <c r="M3" s="177" t="s">
        <v>73</v>
      </c>
      <c r="N3" s="176" t="s">
        <v>84</v>
      </c>
    </row>
    <row r="4" spans="1:14" ht="15.75">
      <c r="A4" s="192" t="s">
        <v>85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14" s="191" customFormat="1" ht="15.75">
      <c r="A5" s="180">
        <v>1996</v>
      </c>
      <c r="B5" s="345">
        <f>'1996'!D19/1000</f>
        <v>571.277</v>
      </c>
      <c r="C5" s="345">
        <f>'1996'!E19/1000</f>
        <v>583.94</v>
      </c>
      <c r="D5" s="345">
        <f>'1996'!F19/1000</f>
        <v>780.897</v>
      </c>
      <c r="E5" s="345">
        <f>'1996'!G19/1000</f>
        <v>780.6765</v>
      </c>
      <c r="F5" s="345">
        <f>'1996'!H19/1000</f>
        <v>811.7215</v>
      </c>
      <c r="G5" s="345">
        <f>'1996'!I19/1000</f>
        <v>729.8335</v>
      </c>
      <c r="H5" s="345">
        <f>'1996'!J19/1000</f>
        <v>662.0865</v>
      </c>
      <c r="I5" s="345">
        <f>'1996'!K19/1000</f>
        <v>434.1025</v>
      </c>
      <c r="J5" s="345">
        <f>'1996'!L19/1000</f>
        <v>596.652</v>
      </c>
      <c r="K5" s="345">
        <f>'1996'!M19/1000</f>
        <v>1198.9575</v>
      </c>
      <c r="L5" s="345">
        <f>'1996'!N19/1000</f>
        <v>794.992</v>
      </c>
      <c r="M5" s="345">
        <f>'1996'!O19/1000</f>
        <v>1112.4425</v>
      </c>
      <c r="N5" s="194">
        <f aca="true" t="shared" si="0" ref="N5:N37">SUM(B5:M5)</f>
        <v>9057.5785</v>
      </c>
    </row>
    <row r="6" spans="1:14" s="191" customFormat="1" ht="15.75">
      <c r="A6" s="180">
        <v>1997</v>
      </c>
      <c r="B6" s="345">
        <f>'1997'!D19/1000</f>
        <v>1378.173</v>
      </c>
      <c r="C6" s="345">
        <f>'1997'!E19/1000</f>
        <v>1116.933</v>
      </c>
      <c r="D6" s="345">
        <f>'1997'!F19/1000</f>
        <v>1163.339</v>
      </c>
      <c r="E6" s="345">
        <f>'1997'!G19/1000</f>
        <v>1276.531</v>
      </c>
      <c r="F6" s="345">
        <f>'1997'!H19/1000</f>
        <v>1328.22</v>
      </c>
      <c r="G6" s="345">
        <f>'1997'!I19/1000</f>
        <v>1279.692</v>
      </c>
      <c r="H6" s="345">
        <f>'1997'!J19/1000</f>
        <v>1100.042</v>
      </c>
      <c r="I6" s="345">
        <f>'1997'!K19/1000</f>
        <v>892.759</v>
      </c>
      <c r="J6" s="345">
        <f>'1997'!L19/1000</f>
        <v>713.525</v>
      </c>
      <c r="K6" s="345">
        <f>'1997'!M19/1000</f>
        <v>538.943</v>
      </c>
      <c r="L6" s="345">
        <f>'1997'!N19/1000</f>
        <v>948.555</v>
      </c>
      <c r="M6" s="345">
        <f>'1997'!O19/1000</f>
        <v>1492.051</v>
      </c>
      <c r="N6" s="194">
        <f t="shared" si="0"/>
        <v>13228.762999999999</v>
      </c>
    </row>
    <row r="7" spans="1:72" s="191" customFormat="1" ht="15.75">
      <c r="A7" s="180">
        <v>1998</v>
      </c>
      <c r="B7" s="345">
        <f>'1998'!C19/1000</f>
        <v>1365</v>
      </c>
      <c r="C7" s="345">
        <f>'1998'!D19/1000</f>
        <v>1612.979</v>
      </c>
      <c r="D7" s="345">
        <f>'1998'!E19/1000</f>
        <v>1622.593</v>
      </c>
      <c r="E7" s="345">
        <f>'1998'!F19/1000</f>
        <v>1604.057</v>
      </c>
      <c r="F7" s="345">
        <f>'1998'!G19/1000</f>
        <v>1455.557</v>
      </c>
      <c r="G7" s="345">
        <f>'1998'!H19/1000</f>
        <v>1307.251</v>
      </c>
      <c r="H7" s="345">
        <f>'1998'!I19/1000</f>
        <v>824.912</v>
      </c>
      <c r="I7" s="345">
        <f>'1998'!J19/1000</f>
        <v>549.98</v>
      </c>
      <c r="J7" s="345">
        <f>'1998'!K19/1000</f>
        <v>482.189</v>
      </c>
      <c r="K7" s="345">
        <f>'1998'!L19/1000</f>
        <v>785.3625</v>
      </c>
      <c r="L7" s="345">
        <f>'1998'!M19/1000</f>
        <v>1065.4028500000002</v>
      </c>
      <c r="M7" s="345">
        <f>'1998'!N19/1000</f>
        <v>961.1395</v>
      </c>
      <c r="N7" s="194">
        <f t="shared" si="0"/>
        <v>13636.422849999999</v>
      </c>
      <c r="O7" s="187"/>
      <c r="P7" s="187"/>
      <c r="Q7" s="187"/>
      <c r="R7" s="187">
        <f>'1998'!BL19/1000</f>
        <v>0</v>
      </c>
      <c r="S7" s="187">
        <f>'1998'!BM19/1000</f>
        <v>0</v>
      </c>
      <c r="T7" s="187">
        <f>'1998'!BN19/1000</f>
        <v>0</v>
      </c>
      <c r="U7" s="187">
        <f>'1998'!BO19/1000</f>
        <v>0</v>
      </c>
      <c r="V7" s="187">
        <f>'1998'!BP19/1000</f>
        <v>0</v>
      </c>
      <c r="W7" s="187">
        <f>'1998'!BQ19/1000</f>
        <v>0</v>
      </c>
      <c r="X7" s="187">
        <f>'1998'!BR19/1000</f>
        <v>0</v>
      </c>
      <c r="Y7" s="187">
        <f>'1998'!BS19/1000</f>
        <v>0</v>
      </c>
      <c r="Z7" s="187">
        <f>'1998'!BT19/1000</f>
        <v>0</v>
      </c>
      <c r="AA7" s="187">
        <f>'1998'!BU19/1000</f>
        <v>0</v>
      </c>
      <c r="AB7" s="187">
        <f>'1998'!BV19/1000</f>
        <v>0</v>
      </c>
      <c r="AC7" s="187">
        <f>'1998'!BW19/1000</f>
        <v>0</v>
      </c>
      <c r="AD7" s="187">
        <f>'1998'!BX19/1000</f>
        <v>0</v>
      </c>
      <c r="AE7" s="187">
        <f>'1998'!BY19/1000</f>
        <v>0</v>
      </c>
      <c r="AF7" s="187">
        <f>'1998'!BZ19/1000</f>
        <v>0</v>
      </c>
      <c r="AG7" s="187">
        <f>'1998'!CA19/1000</f>
        <v>0</v>
      </c>
      <c r="AH7" s="187">
        <f>'1998'!CB19/1000</f>
        <v>0</v>
      </c>
      <c r="AI7" s="187">
        <f>'1998'!CC19/1000</f>
        <v>0</v>
      </c>
      <c r="AJ7" s="187">
        <f>'1998'!CD19/1000</f>
        <v>0</v>
      </c>
      <c r="AK7" s="187">
        <f>'1998'!CE19/1000</f>
        <v>0</v>
      </c>
      <c r="AL7" s="187">
        <f>'1998'!CF19/1000</f>
        <v>0</v>
      </c>
      <c r="AM7" s="187">
        <f>'1998'!CG19/1000</f>
        <v>0</v>
      </c>
      <c r="AN7" s="187">
        <f>'1998'!CH19/1000</f>
        <v>0</v>
      </c>
      <c r="AO7" s="187">
        <f>'1998'!CI19/1000</f>
        <v>0</v>
      </c>
      <c r="AP7" s="187">
        <f>'1998'!CJ19/1000</f>
        <v>0</v>
      </c>
      <c r="AQ7" s="187">
        <f>'1998'!CK19/1000</f>
        <v>0</v>
      </c>
      <c r="AR7" s="187">
        <f>'1998'!CL19/1000</f>
        <v>0</v>
      </c>
      <c r="AS7" s="187">
        <f>'1998'!CM19/1000</f>
        <v>0</v>
      </c>
      <c r="AT7" s="187">
        <f>'1998'!CN19/1000</f>
        <v>0</v>
      </c>
      <c r="AU7" s="187">
        <f>'1998'!CO19/1000</f>
        <v>0</v>
      </c>
      <c r="AV7" s="187">
        <f>'1998'!CP19/1000</f>
        <v>0</v>
      </c>
      <c r="AW7" s="187">
        <f>'1998'!CQ19/1000</f>
        <v>0</v>
      </c>
      <c r="AX7" s="187">
        <f>'1998'!CR19/1000</f>
        <v>0</v>
      </c>
      <c r="AY7" s="187">
        <f>'1998'!CS19/1000</f>
        <v>0</v>
      </c>
      <c r="AZ7" s="187">
        <f>'1998'!CT19/1000</f>
        <v>0</v>
      </c>
      <c r="BA7" s="187">
        <f>'1998'!CU19/1000</f>
        <v>0</v>
      </c>
      <c r="BB7" s="187">
        <f>'1998'!CV19/1000</f>
        <v>0</v>
      </c>
      <c r="BC7" s="187">
        <f>'1998'!CW19/1000</f>
        <v>0</v>
      </c>
      <c r="BD7" s="187">
        <f>'1998'!CX19/1000</f>
        <v>0</v>
      </c>
      <c r="BE7" s="187">
        <f>'1998'!CY19/1000</f>
        <v>0</v>
      </c>
      <c r="BF7" s="187">
        <f>'1998'!CZ19/1000</f>
        <v>0</v>
      </c>
      <c r="BG7" s="187">
        <f>'1998'!DA19/1000</f>
        <v>0</v>
      </c>
      <c r="BH7" s="187">
        <f>'1998'!DB19/1000</f>
        <v>0</v>
      </c>
      <c r="BI7" s="187">
        <f>'1998'!DC19/1000</f>
        <v>0</v>
      </c>
      <c r="BJ7" s="187">
        <f>'1998'!DD19/1000</f>
        <v>0</v>
      </c>
      <c r="BK7" s="187">
        <f>'1998'!DE19/1000</f>
        <v>0</v>
      </c>
      <c r="BL7" s="187">
        <f>'1998'!DF19/1000</f>
        <v>0</v>
      </c>
      <c r="BM7" s="187">
        <f>'1998'!DG19/1000</f>
        <v>0</v>
      </c>
      <c r="BN7" s="187">
        <f>'1998'!DH19/1000</f>
        <v>0</v>
      </c>
      <c r="BO7" s="187">
        <f>'1998'!DI19/1000</f>
        <v>0</v>
      </c>
      <c r="BP7" s="187">
        <f>'1998'!DJ19/1000</f>
        <v>0</v>
      </c>
      <c r="BQ7" s="187">
        <f>'1998'!DK19/1000</f>
        <v>0</v>
      </c>
      <c r="BR7" s="187">
        <f>'1998'!DL19/1000</f>
        <v>0</v>
      </c>
      <c r="BS7" s="187">
        <f>'1998'!DM19/1000</f>
        <v>0</v>
      </c>
      <c r="BT7" s="187">
        <f>'1998'!DN19/1000</f>
        <v>0</v>
      </c>
    </row>
    <row r="8" spans="1:14" s="191" customFormat="1" ht="15.75">
      <c r="A8" s="180">
        <v>1999</v>
      </c>
      <c r="B8" s="345">
        <f>'1999'!C19/1000</f>
        <v>1118.094</v>
      </c>
      <c r="C8" s="345">
        <f>'1999'!D19/1000</f>
        <v>1111.894</v>
      </c>
      <c r="D8" s="345">
        <f>'1999'!E19/1000</f>
        <v>1106.678</v>
      </c>
      <c r="E8" s="345">
        <f>'1999'!F19/1000</f>
        <v>1341.39</v>
      </c>
      <c r="F8" s="345">
        <f>'1999'!G19/1000</f>
        <v>1332.38</v>
      </c>
      <c r="G8" s="345">
        <f>'1999'!H19/1000</f>
        <v>1085.268</v>
      </c>
      <c r="H8" s="345">
        <f>'1999'!I19/1000</f>
        <v>626.074</v>
      </c>
      <c r="I8" s="345">
        <f>'1999'!J19/1000</f>
        <v>527.089</v>
      </c>
      <c r="J8" s="345">
        <f>'1999'!K19/1000</f>
        <v>734.523</v>
      </c>
      <c r="K8" s="345">
        <f>'1999'!L19/1000</f>
        <v>1354.243</v>
      </c>
      <c r="L8" s="345">
        <f>'1999'!M19/1000</f>
        <v>1309.003</v>
      </c>
      <c r="M8" s="345">
        <f>'1999'!N19/1000</f>
        <v>1323.24</v>
      </c>
      <c r="N8" s="194">
        <f t="shared" si="0"/>
        <v>12969.876</v>
      </c>
    </row>
    <row r="9" spans="1:14" s="191" customFormat="1" ht="15.75">
      <c r="A9" s="180">
        <v>2000</v>
      </c>
      <c r="B9" s="345">
        <f>'2000'!C19/1000</f>
        <v>1674.57</v>
      </c>
      <c r="C9" s="345">
        <f>'2000'!D19/1000</f>
        <v>1379.856</v>
      </c>
      <c r="D9" s="345">
        <f>'2000'!E19/1000</f>
        <v>1472.758</v>
      </c>
      <c r="E9" s="345">
        <f>'2000'!F19/1000</f>
        <v>1526.874</v>
      </c>
      <c r="F9" s="345">
        <f>'2000'!G19/1000</f>
        <v>1768.879</v>
      </c>
      <c r="G9" s="345">
        <f>'2000'!H19/1000</f>
        <v>1134.608</v>
      </c>
      <c r="H9" s="345">
        <f>'2000'!I19/1000</f>
        <v>678.972</v>
      </c>
      <c r="I9" s="345">
        <f>'2000'!J19/1000</f>
        <v>528.154</v>
      </c>
      <c r="J9" s="345">
        <f>'2000'!K19/1000</f>
        <v>451.762</v>
      </c>
      <c r="K9" s="345">
        <f>'2000'!L19/1000</f>
        <v>736.007</v>
      </c>
      <c r="L9" s="345">
        <f>'2000'!M19/1000</f>
        <v>1501.65</v>
      </c>
      <c r="M9" s="345">
        <f>'2000'!N19/1000</f>
        <v>1627.158</v>
      </c>
      <c r="N9" s="194">
        <f t="shared" si="0"/>
        <v>14481.248</v>
      </c>
    </row>
    <row r="10" spans="1:14" s="191" customFormat="1" ht="15.75">
      <c r="A10" s="180">
        <v>2001</v>
      </c>
      <c r="B10" s="345">
        <f>'2001'!C19/1000</f>
        <v>1532.584</v>
      </c>
      <c r="C10" s="345">
        <f>'2001'!D19/1000</f>
        <v>1463.979</v>
      </c>
      <c r="D10" s="345">
        <f>'2001'!E19/1000</f>
        <v>1749.195</v>
      </c>
      <c r="E10" s="345">
        <f>'2001'!F19/1000</f>
        <v>1837.064</v>
      </c>
      <c r="F10" s="345">
        <f>'2001'!G19/1000</f>
        <v>1920.76</v>
      </c>
      <c r="G10" s="345">
        <f>'2001'!H19/1000</f>
        <v>1376.656</v>
      </c>
      <c r="H10" s="345">
        <f>'2001'!I19/1000</f>
        <v>1081.706</v>
      </c>
      <c r="I10" s="345">
        <f>'2001'!J19/1000</f>
        <v>1115.593</v>
      </c>
      <c r="J10" s="345">
        <f>'2001'!K19/1000</f>
        <v>1060.318</v>
      </c>
      <c r="K10" s="345">
        <f>'2001'!L19/1000</f>
        <v>1479.245</v>
      </c>
      <c r="L10" s="345">
        <f>'2001'!M19/1000</f>
        <v>1562.029</v>
      </c>
      <c r="M10" s="345">
        <f>'2001'!N19/1000</f>
        <v>1638.331</v>
      </c>
      <c r="N10" s="194">
        <f t="shared" si="0"/>
        <v>17817.460000000003</v>
      </c>
    </row>
    <row r="11" spans="1:14" s="191" customFormat="1" ht="15.75">
      <c r="A11" s="180">
        <v>2002</v>
      </c>
      <c r="B11" s="345">
        <f>'2002'!C19/1000</f>
        <v>1844.462</v>
      </c>
      <c r="C11" s="345">
        <f>'2002'!D19/1000</f>
        <v>1548.477</v>
      </c>
      <c r="D11" s="345">
        <f>'2002'!E19/1000</f>
        <v>1716.869</v>
      </c>
      <c r="E11" s="345">
        <f>'2002'!F19/1000</f>
        <v>1718.108</v>
      </c>
      <c r="F11" s="345">
        <f>'2002'!G19/1000</f>
        <v>1789.895</v>
      </c>
      <c r="G11" s="345">
        <f>'2002'!H19/1000</f>
        <v>1305.444</v>
      </c>
      <c r="H11" s="345">
        <f>'2002'!I19/1000</f>
        <v>813.858</v>
      </c>
      <c r="I11" s="345">
        <f>'2002'!J19/1000</f>
        <v>428.741</v>
      </c>
      <c r="J11" s="345">
        <f>'2002'!K19/1000</f>
        <v>415.027</v>
      </c>
      <c r="K11" s="345">
        <f>'2002'!L19/1000</f>
        <v>662.066</v>
      </c>
      <c r="L11" s="345">
        <f>'2002'!M19/1000</f>
        <v>988.703</v>
      </c>
      <c r="M11" s="345">
        <f>'2002'!N19/1000</f>
        <v>1716.323</v>
      </c>
      <c r="N11" s="194">
        <f t="shared" si="0"/>
        <v>14947.973</v>
      </c>
    </row>
    <row r="12" spans="1:14" s="191" customFormat="1" ht="15.75">
      <c r="A12" s="180">
        <v>2003</v>
      </c>
      <c r="B12" s="345">
        <f>'2003'!C19/1000</f>
        <v>1823.779</v>
      </c>
      <c r="C12" s="345">
        <f>'2003'!D19/1000</f>
        <v>1424.839</v>
      </c>
      <c r="D12" s="345">
        <f>'2003'!E19/1000</f>
        <v>1463.209</v>
      </c>
      <c r="E12" s="345">
        <f>'2003'!F19/1000</f>
        <v>1654.385</v>
      </c>
      <c r="F12" s="345">
        <f>'2003'!G19/1000</f>
        <v>1714.989</v>
      </c>
      <c r="G12" s="345">
        <f>'2003'!H19/1000</f>
        <v>1339.173</v>
      </c>
      <c r="H12" s="345">
        <f>'2003'!I19/1000</f>
        <v>891.945</v>
      </c>
      <c r="I12" s="345">
        <f>'2003'!J19/1000</f>
        <v>518.73</v>
      </c>
      <c r="J12" s="345">
        <f>'2003'!K19/1000</f>
        <v>773.967</v>
      </c>
      <c r="K12" s="345">
        <f>'2003'!L19/1000</f>
        <v>1414.635</v>
      </c>
      <c r="L12" s="345">
        <f>'2003'!M19/1000</f>
        <v>1131.244</v>
      </c>
      <c r="M12" s="345">
        <f>'2003'!N19/1000</f>
        <v>1332.6275</v>
      </c>
      <c r="N12" s="194">
        <f t="shared" si="0"/>
        <v>15483.522500000003</v>
      </c>
    </row>
    <row r="13" spans="1:14" s="191" customFormat="1" ht="15.75">
      <c r="A13" s="180">
        <v>2004</v>
      </c>
      <c r="B13" s="345">
        <f>'2004'!C19/1000</f>
        <v>1466.309</v>
      </c>
      <c r="C13" s="345">
        <f>'2004'!D19/1000</f>
        <v>1271.347</v>
      </c>
      <c r="D13" s="345">
        <f>'2004'!E19/1000</f>
        <v>1591.899</v>
      </c>
      <c r="E13" s="345">
        <f>'2004'!F19/1000</f>
        <v>1563.219</v>
      </c>
      <c r="F13" s="345">
        <f>'2004'!G19/1000</f>
        <v>1528.694</v>
      </c>
      <c r="G13" s="345">
        <f>'2004'!H19/1000</f>
        <v>1154.095</v>
      </c>
      <c r="H13" s="345">
        <f>'2004'!I19/1000</f>
        <v>454.811</v>
      </c>
      <c r="I13" s="345">
        <f>'2004'!J19/1000</f>
        <v>464.275</v>
      </c>
      <c r="J13" s="345">
        <f>'2004'!K19/1000</f>
        <v>656.894</v>
      </c>
      <c r="K13" s="345">
        <f>'2004'!L19/1000</f>
        <v>1173.423</v>
      </c>
      <c r="L13" s="345">
        <f>'2004'!M19/1000</f>
        <v>1336.998</v>
      </c>
      <c r="M13" s="345">
        <f>'2004'!N19/1000</f>
        <v>1516.466</v>
      </c>
      <c r="N13" s="194">
        <f t="shared" si="0"/>
        <v>14178.43</v>
      </c>
    </row>
    <row r="14" spans="1:14" s="191" customFormat="1" ht="15.75">
      <c r="A14" s="180">
        <v>2005</v>
      </c>
      <c r="B14" s="345">
        <f>'2005'!C19/1000</f>
        <v>1667.377</v>
      </c>
      <c r="C14" s="345">
        <f>'2005'!D19/1000</f>
        <v>1509.0735</v>
      </c>
      <c r="D14" s="345">
        <f>'2005'!E19/1000</f>
        <v>1684.891</v>
      </c>
      <c r="E14" s="345">
        <f>'2005'!F19/1000</f>
        <v>1739.4515</v>
      </c>
      <c r="F14" s="345">
        <f>'2005'!G19/1000</f>
        <v>1768.888</v>
      </c>
      <c r="G14" s="345">
        <f>'2005'!H19/1000</f>
        <v>1421.424</v>
      </c>
      <c r="H14" s="345">
        <f>'2005'!I19/1000</f>
        <v>950.307</v>
      </c>
      <c r="I14" s="345">
        <f>'2005'!J19/1000</f>
        <v>775.297</v>
      </c>
      <c r="J14" s="345">
        <f>'2005'!K19/1000</f>
        <v>918.319</v>
      </c>
      <c r="K14" s="345">
        <f>'2005'!L19/1000</f>
        <v>1239.534</v>
      </c>
      <c r="L14" s="345">
        <f>'2005'!M19/1000</f>
        <v>1350.823</v>
      </c>
      <c r="M14" s="345">
        <f>'2005'!N19/1000</f>
        <v>1432.253</v>
      </c>
      <c r="N14" s="194">
        <f t="shared" si="0"/>
        <v>16457.638</v>
      </c>
    </row>
    <row r="15" spans="1:14" s="191" customFormat="1" ht="15.75">
      <c r="A15" s="180">
        <v>2006</v>
      </c>
      <c r="B15" s="345">
        <f>'2006'!C19/1000</f>
        <v>1510.81</v>
      </c>
      <c r="C15" s="345">
        <f>'2006'!D19/1000</f>
        <v>1363.005</v>
      </c>
      <c r="D15" s="345">
        <f>'2006'!E19/1000</f>
        <v>1711.817</v>
      </c>
      <c r="E15" s="345">
        <f>'2006'!F19/1000</f>
        <v>1584.871</v>
      </c>
      <c r="F15" s="345">
        <f>'2006'!G19/1000</f>
        <v>1921.069</v>
      </c>
      <c r="G15" s="345">
        <f>'2006'!H19/1000</f>
        <v>1598.435</v>
      </c>
      <c r="H15" s="345">
        <f>'2006'!I19/1000</f>
        <v>1020.2005</v>
      </c>
      <c r="I15" s="345">
        <f>'2006'!J19/1000</f>
        <v>957.055</v>
      </c>
      <c r="J15" s="345">
        <f>'2006'!K19/1000</f>
        <v>926.515</v>
      </c>
      <c r="K15" s="345">
        <f>'2006'!L19/1000</f>
        <v>1345.076</v>
      </c>
      <c r="L15" s="345">
        <f>'2006'!M19/1000</f>
        <v>1365.183</v>
      </c>
      <c r="M15" s="345">
        <f>'2006'!N19/1000</f>
        <v>1668.584</v>
      </c>
      <c r="N15" s="194">
        <f>SUM(B15:M15)</f>
        <v>16972.6205</v>
      </c>
    </row>
    <row r="16" spans="1:14" s="191" customFormat="1" ht="15.75">
      <c r="A16" s="180">
        <v>2007</v>
      </c>
      <c r="B16" s="345">
        <f>'2007'!C19/1000</f>
        <v>2171.325</v>
      </c>
      <c r="C16" s="345">
        <f>'2007'!D19/1000</f>
        <v>1873.637</v>
      </c>
      <c r="D16" s="345">
        <f>'2007'!E19/1000</f>
        <v>1895.418</v>
      </c>
      <c r="E16" s="345">
        <f>'2007'!F19/1000</f>
        <v>1979.626</v>
      </c>
      <c r="F16" s="345">
        <f>'2007'!G19/1000</f>
        <v>2081.045</v>
      </c>
      <c r="G16" s="345">
        <f>'2007'!H19/1000</f>
        <v>1657.6</v>
      </c>
      <c r="H16" s="345">
        <f>'2007'!I19/1000</f>
        <v>1399.948</v>
      </c>
      <c r="I16" s="345">
        <f>'2007'!J19/1000</f>
        <v>1220.134</v>
      </c>
      <c r="J16" s="345">
        <f>'2007'!K19/1000</f>
        <v>1199.205</v>
      </c>
      <c r="K16" s="345">
        <f>'2007'!L19/1000</f>
        <v>1665.268</v>
      </c>
      <c r="L16" s="345">
        <f>'2007'!M19/1000</f>
        <v>1555.419</v>
      </c>
      <c r="M16" s="345">
        <f>'2007'!N19/1000</f>
        <v>1779.883</v>
      </c>
      <c r="N16" s="194">
        <f t="shared" si="0"/>
        <v>20478.508</v>
      </c>
    </row>
    <row r="17" spans="1:14" s="191" customFormat="1" ht="15.75">
      <c r="A17" s="180">
        <v>2008</v>
      </c>
      <c r="B17" s="345">
        <f>'2008'!C19/1000</f>
        <v>1896.2575</v>
      </c>
      <c r="C17" s="345">
        <f>'2008'!D19/1000</f>
        <v>1554.303</v>
      </c>
      <c r="D17" s="345">
        <f>'2008'!E19/1000</f>
        <v>1617.567</v>
      </c>
      <c r="E17" s="345">
        <f>'2008'!F19/1000</f>
        <v>2079.959</v>
      </c>
      <c r="F17" s="345">
        <f>'2008'!G19/1000</f>
        <v>2175.581</v>
      </c>
      <c r="G17" s="345">
        <f>'2008'!H19/1000</f>
        <v>1621.753</v>
      </c>
      <c r="H17" s="345">
        <f>'2008'!I19/1000</f>
        <v>1330.727</v>
      </c>
      <c r="I17" s="345">
        <f>'2008'!J19/1000</f>
        <v>1048.911</v>
      </c>
      <c r="J17" s="345">
        <f>'2008'!K19/1000</f>
        <v>1277.55</v>
      </c>
      <c r="K17" s="345">
        <f>'2008'!L19/1000</f>
        <v>1631.774</v>
      </c>
      <c r="L17" s="345">
        <f>'2008'!M19/1000</f>
        <v>1711.109</v>
      </c>
      <c r="M17" s="345">
        <f>'2008'!N19/1000</f>
        <v>2019.702</v>
      </c>
      <c r="N17" s="194">
        <f>SUM(B17:M17)</f>
        <v>19965.1935</v>
      </c>
    </row>
    <row r="18" spans="1:14" s="191" customFormat="1" ht="15.75">
      <c r="A18" s="180">
        <v>2009</v>
      </c>
      <c r="B18" s="345">
        <f>'2009'!C19/1000</f>
        <v>1801.316</v>
      </c>
      <c r="C18" s="345">
        <f>'2009'!D19/1000</f>
        <v>1479.434</v>
      </c>
      <c r="D18" s="345">
        <f>'2009'!E19/1000</f>
        <v>1892.7955</v>
      </c>
      <c r="E18" s="345">
        <f>'2009'!F19/1000</f>
        <v>2025.67</v>
      </c>
      <c r="F18" s="345">
        <f>'2009'!G19/1000</f>
        <v>2010.892</v>
      </c>
      <c r="G18" s="345">
        <f>'2009'!H19/1000</f>
        <v>2036.82</v>
      </c>
      <c r="H18" s="345">
        <f>'2009'!I19/1000</f>
        <v>1398.277</v>
      </c>
      <c r="I18" s="345">
        <f>'2009'!J19/1000</f>
        <v>952.8093</v>
      </c>
      <c r="J18" s="345">
        <f>'2009'!K19/1000</f>
        <v>1154.2075</v>
      </c>
      <c r="K18" s="345">
        <f>'2009'!L19/1000</f>
        <v>1617.31375</v>
      </c>
      <c r="L18" s="345">
        <f>'2009'!M19/1000</f>
        <v>2035.041</v>
      </c>
      <c r="M18" s="345">
        <f>'2009'!N19/1000</f>
        <v>2130.5425</v>
      </c>
      <c r="N18" s="194">
        <f t="shared" si="0"/>
        <v>20535.11855</v>
      </c>
    </row>
    <row r="19" spans="1:14" s="191" customFormat="1" ht="15.75">
      <c r="A19" s="180">
        <v>2010</v>
      </c>
      <c r="B19" s="345">
        <f>'2010'!C19/1000</f>
        <v>2304.02</v>
      </c>
      <c r="C19" s="345">
        <f>'2010'!D19/1000</f>
        <v>2176.809</v>
      </c>
      <c r="D19" s="345">
        <f>'2010'!E19/1000</f>
        <v>2542.96</v>
      </c>
      <c r="E19" s="345">
        <f>'2010'!F19/1000</f>
        <v>2207.639</v>
      </c>
      <c r="F19" s="345">
        <f>'2010'!G19/1000</f>
        <v>2241.723</v>
      </c>
      <c r="G19" s="345">
        <f>'2010'!H19/1000</f>
        <v>1918.603</v>
      </c>
      <c r="H19" s="345">
        <f>'2010'!I19/1000</f>
        <v>1267.53</v>
      </c>
      <c r="I19" s="345">
        <f>'2010'!J19/1000</f>
        <v>867.619</v>
      </c>
      <c r="J19" s="345">
        <f>'2010'!K19/1000</f>
        <v>873.917</v>
      </c>
      <c r="K19" s="345">
        <f>'2010'!L19/1000</f>
        <v>1595.73</v>
      </c>
      <c r="L19" s="345">
        <f>'2010'!M19/1000</f>
        <v>2215.468</v>
      </c>
      <c r="M19" s="345">
        <f>'2010'!N19/1000</f>
        <v>2036.858</v>
      </c>
      <c r="N19" s="194">
        <f t="shared" si="0"/>
        <v>22248.876000000004</v>
      </c>
    </row>
    <row r="20" spans="1:14" s="191" customFormat="1" ht="15.75">
      <c r="A20" s="180">
        <v>2011</v>
      </c>
      <c r="B20" s="345" t="e">
        <f>'[3]2011'!C19/1000</f>
        <v>#REF!</v>
      </c>
      <c r="C20" s="345" t="e">
        <f>'[3]2011'!D19/1000</f>
        <v>#REF!</v>
      </c>
      <c r="D20" s="345" t="e">
        <f>'[3]2011'!E19/1000</f>
        <v>#REF!</v>
      </c>
      <c r="E20" s="345" t="e">
        <f>'[3]2011'!F19/1000</f>
        <v>#REF!</v>
      </c>
      <c r="F20" s="345" t="e">
        <f>'[3]2011'!G19/1000</f>
        <v>#REF!</v>
      </c>
      <c r="G20" s="345" t="e">
        <f>'[3]2011'!H19/1000</f>
        <v>#REF!</v>
      </c>
      <c r="H20" s="345" t="e">
        <f>'[3]2011'!I19/1000</f>
        <v>#REF!</v>
      </c>
      <c r="I20" s="345" t="e">
        <f>'[3]2011'!J19/1000</f>
        <v>#REF!</v>
      </c>
      <c r="J20" s="345" t="e">
        <f>'[3]2011'!K19/1000</f>
        <v>#REF!</v>
      </c>
      <c r="K20" s="345" t="e">
        <f>'[3]2011'!L19/1000</f>
        <v>#REF!</v>
      </c>
      <c r="L20" s="345" t="e">
        <f>'[3]2011'!M19/1000</f>
        <v>#REF!</v>
      </c>
      <c r="M20" s="345" t="e">
        <f>'[3]2011'!N19/1000</f>
        <v>#REF!</v>
      </c>
      <c r="N20" s="194" t="e">
        <f t="shared" si="0"/>
        <v>#REF!</v>
      </c>
    </row>
    <row r="21" spans="1:14" s="191" customFormat="1" ht="15.75">
      <c r="A21" s="180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194"/>
    </row>
    <row r="22" spans="1:14" s="191" customFormat="1" ht="15.75">
      <c r="A22" s="192" t="s">
        <v>86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194"/>
    </row>
    <row r="23" spans="1:14" s="191" customFormat="1" ht="15.75">
      <c r="A23" s="180">
        <v>1996</v>
      </c>
      <c r="B23" s="345">
        <f>'1996'!D47/1000</f>
        <v>3209.129</v>
      </c>
      <c r="C23" s="345">
        <f>'1996'!E47/1000</f>
        <v>3330.762</v>
      </c>
      <c r="D23" s="345">
        <f>'1996'!F47/1000</f>
        <v>4511.221</v>
      </c>
      <c r="E23" s="345">
        <f>'1996'!G47/1000</f>
        <v>4607.414</v>
      </c>
      <c r="F23" s="345">
        <f>'1996'!H47/1000</f>
        <v>4760.553</v>
      </c>
      <c r="G23" s="345">
        <f>'1996'!I47/1000</f>
        <v>4173.205</v>
      </c>
      <c r="H23" s="345">
        <f>'1996'!J47/1000</f>
        <v>3287.89</v>
      </c>
      <c r="I23" s="345">
        <f>'1996'!K47/1000</f>
        <v>1687.205</v>
      </c>
      <c r="J23" s="345">
        <f>'1996'!L47/1000</f>
        <v>2689.105</v>
      </c>
      <c r="K23" s="345">
        <f>'1996'!M47/1000</f>
        <v>5884.034</v>
      </c>
      <c r="L23" s="345">
        <f>'1996'!N47/1000</f>
        <v>3558.45</v>
      </c>
      <c r="M23" s="345">
        <f>'1996'!O47/1000</f>
        <v>5207.499</v>
      </c>
      <c r="N23" s="194">
        <f t="shared" si="0"/>
        <v>46906.46699999999</v>
      </c>
    </row>
    <row r="24" spans="1:14" s="191" customFormat="1" ht="15.75">
      <c r="A24" s="180">
        <v>1997</v>
      </c>
      <c r="B24" s="345">
        <f>'1997'!D48/1000</f>
        <v>6145.224</v>
      </c>
      <c r="C24" s="345">
        <f>'1997'!E48/1000</f>
        <v>4740.567</v>
      </c>
      <c r="D24" s="345">
        <f>'1997'!F48/1000</f>
        <v>5020.946</v>
      </c>
      <c r="E24" s="345">
        <f>'1997'!G48/1000</f>
        <v>5662.662</v>
      </c>
      <c r="F24" s="345">
        <f>'1997'!H48/1000</f>
        <v>5852.105</v>
      </c>
      <c r="G24" s="345">
        <f>'1997'!I48/1000</f>
        <v>5069.616</v>
      </c>
      <c r="H24" s="345">
        <f>'1997'!J48/1000</f>
        <v>4386.0425</v>
      </c>
      <c r="I24" s="345">
        <f>'1997'!K48/1000</f>
        <v>3422.992</v>
      </c>
      <c r="J24" s="345">
        <f>'1997'!L48/1000</f>
        <v>2665.406</v>
      </c>
      <c r="K24" s="345">
        <f>'1997'!M48/1000</f>
        <v>2236.65</v>
      </c>
      <c r="L24" s="345">
        <f>'1997'!N48/1000</f>
        <v>4213.8902</v>
      </c>
      <c r="M24" s="345">
        <f>'1997'!O48/1000</f>
        <v>6410.3771</v>
      </c>
      <c r="N24" s="194">
        <f t="shared" si="0"/>
        <v>55826.47780000001</v>
      </c>
    </row>
    <row r="25" spans="1:14" s="191" customFormat="1" ht="15.75">
      <c r="A25" s="180">
        <v>1998</v>
      </c>
      <c r="B25" s="345">
        <f>'1998'!C45/1000</f>
        <v>7367.19526317674</v>
      </c>
      <c r="C25" s="345">
        <f>'1998'!D45/1000</f>
        <v>8932.895923836339</v>
      </c>
      <c r="D25" s="345">
        <f>'1998'!E45/1000</f>
        <v>9138.016266467066</v>
      </c>
      <c r="E25" s="345">
        <f>'1998'!F45/1000</f>
        <v>8323.431441376324</v>
      </c>
      <c r="F25" s="345">
        <f>'1998'!G45/1000</f>
        <v>7312.468159346123</v>
      </c>
      <c r="G25" s="345">
        <f>'1998'!H45/1000</f>
        <v>5944.9037294152695</v>
      </c>
      <c r="H25" s="345">
        <f>'1998'!I45/1000</f>
        <v>3875.567</v>
      </c>
      <c r="I25" s="345">
        <f>'1998'!J45/1000</f>
        <v>2454.978</v>
      </c>
      <c r="J25" s="345">
        <f>'1998'!K45/1000</f>
        <v>1937.802</v>
      </c>
      <c r="K25" s="345">
        <f>'1998'!L45/1000</f>
        <v>3670.391</v>
      </c>
      <c r="L25" s="345">
        <f>'1998'!M45/1000</f>
        <v>5318.351</v>
      </c>
      <c r="M25" s="345">
        <f>'1998'!N45/1000</f>
        <v>4423.778</v>
      </c>
      <c r="N25" s="194">
        <f t="shared" si="0"/>
        <v>68699.77778361787</v>
      </c>
    </row>
    <row r="26" spans="1:14" s="191" customFormat="1" ht="15.75">
      <c r="A26" s="180">
        <v>1999</v>
      </c>
      <c r="B26" s="345">
        <f>'1999'!C45/1000</f>
        <v>4889.521</v>
      </c>
      <c r="C26" s="345">
        <f>'1999'!D45/1000</f>
        <v>4699.909</v>
      </c>
      <c r="D26" s="345">
        <f>'1999'!E45/1000</f>
        <v>4886.396</v>
      </c>
      <c r="E26" s="345">
        <f>'1999'!F45/1000</f>
        <v>6001.403</v>
      </c>
      <c r="F26" s="345">
        <f>'1999'!G45/1000</f>
        <v>5978.302</v>
      </c>
      <c r="G26" s="345">
        <f>'1999'!H45/1000</f>
        <v>4547.87</v>
      </c>
      <c r="H26" s="345">
        <f>'1999'!I45/1000</f>
        <v>2483.053</v>
      </c>
      <c r="I26" s="345">
        <f>'1999'!J45/1000</f>
        <v>2215.733</v>
      </c>
      <c r="J26" s="345">
        <f>'1999'!K45/1000</f>
        <v>3204.547</v>
      </c>
      <c r="K26" s="345">
        <f>'1999'!L45/1000</f>
        <v>5938.827</v>
      </c>
      <c r="L26" s="345">
        <f>'1999'!M45/1000</f>
        <v>5953.472</v>
      </c>
      <c r="M26" s="345">
        <f>'1999'!N45/1000</f>
        <v>5948.815</v>
      </c>
      <c r="N26" s="194">
        <f t="shared" si="0"/>
        <v>56747.848</v>
      </c>
    </row>
    <row r="27" spans="1:14" s="191" customFormat="1" ht="15.75">
      <c r="A27" s="180">
        <v>2000</v>
      </c>
      <c r="B27" s="345">
        <f>'2000'!C45/1000</f>
        <v>7150.728</v>
      </c>
      <c r="C27" s="345">
        <f>'2000'!D45/1000</f>
        <v>6022.405</v>
      </c>
      <c r="D27" s="345">
        <f>'2000'!E45/1000</f>
        <v>6523.15</v>
      </c>
      <c r="E27" s="345">
        <f>'2000'!F45/1000</f>
        <v>6699.129</v>
      </c>
      <c r="F27" s="345">
        <f>'2000'!G45/1000</f>
        <v>7622.257</v>
      </c>
      <c r="G27" s="345">
        <f>'2000'!H45/1000</f>
        <v>4875.011</v>
      </c>
      <c r="H27" s="345">
        <f>'2000'!I45/1000</f>
        <v>2865.803</v>
      </c>
      <c r="I27" s="345">
        <f>'2000'!J45/1000</f>
        <v>2159.378</v>
      </c>
      <c r="J27" s="345">
        <f>'2000'!K45/1000</f>
        <v>1809.455</v>
      </c>
      <c r="K27" s="345">
        <f>'2000'!L45/1000</f>
        <v>3198.167</v>
      </c>
      <c r="L27" s="345">
        <f>'2000'!M45/1000</f>
        <v>6846.474</v>
      </c>
      <c r="M27" s="345">
        <f>'2000'!N45/1000</f>
        <v>6864.71</v>
      </c>
      <c r="N27" s="194">
        <f t="shared" si="0"/>
        <v>62636.667</v>
      </c>
    </row>
    <row r="28" spans="1:14" s="191" customFormat="1" ht="15.75">
      <c r="A28" s="180">
        <v>2001</v>
      </c>
      <c r="B28" s="345">
        <f>'2001'!C45/1000</f>
        <v>6835.463</v>
      </c>
      <c r="C28" s="345">
        <f>'2001'!D45/1000</f>
        <v>6387.965</v>
      </c>
      <c r="D28" s="345">
        <f>'2001'!E45/1000</f>
        <v>7610.559</v>
      </c>
      <c r="E28" s="345">
        <f>'2001'!F45/1000</f>
        <v>8011.995</v>
      </c>
      <c r="F28" s="345">
        <f>'2001'!G45/1000</f>
        <v>8540.102</v>
      </c>
      <c r="G28" s="345">
        <f>'2001'!H45/1000</f>
        <v>5666.685</v>
      </c>
      <c r="H28" s="345">
        <f>'2001'!I45/1000</f>
        <v>4303.735</v>
      </c>
      <c r="I28" s="345">
        <f>'2001'!J45/1000</f>
        <v>4368.19</v>
      </c>
      <c r="J28" s="345">
        <f>'2001'!K45/1000</f>
        <v>4206.484</v>
      </c>
      <c r="K28" s="345">
        <f>'2001'!L45/1000</f>
        <v>6162.744</v>
      </c>
      <c r="L28" s="345">
        <f>'2001'!M45/1000</f>
        <v>7018.788</v>
      </c>
      <c r="M28" s="345">
        <f>'2001'!N45/1000</f>
        <v>7422.452</v>
      </c>
      <c r="N28" s="194">
        <f t="shared" si="0"/>
        <v>76535.162</v>
      </c>
    </row>
    <row r="29" spans="1:14" ht="15.75">
      <c r="A29" s="180">
        <v>2002</v>
      </c>
      <c r="B29" s="193">
        <f>'2002'!C45/1000</f>
        <v>8248.534</v>
      </c>
      <c r="C29" s="193">
        <f>'2002'!D45/1000</f>
        <v>6769.542</v>
      </c>
      <c r="D29" s="193">
        <f>'2002'!E45/1000</f>
        <v>7626.798</v>
      </c>
      <c r="E29" s="193">
        <f>'2002'!F45/1000</f>
        <v>7768.415</v>
      </c>
      <c r="F29" s="193">
        <f>'2002'!G45/1000</f>
        <v>7884.993</v>
      </c>
      <c r="G29" s="193">
        <f>'2002'!H45/1000</f>
        <v>5374.578</v>
      </c>
      <c r="H29" s="193">
        <f>'2002'!I45/1000</f>
        <v>3091.203</v>
      </c>
      <c r="I29" s="193">
        <f>'2002'!J45/1000</f>
        <v>1607.942</v>
      </c>
      <c r="J29" s="193">
        <f>'2002'!K45/1000</f>
        <v>1634.505</v>
      </c>
      <c r="K29" s="193">
        <f>'2002'!L45/1000</f>
        <v>2814.075</v>
      </c>
      <c r="L29" s="193">
        <f>'2002'!M45/1000</f>
        <v>4313.636</v>
      </c>
      <c r="M29" s="193">
        <f>'2002'!N45/1000</f>
        <v>7675.129</v>
      </c>
      <c r="N29" s="194">
        <f t="shared" si="0"/>
        <v>64809.35</v>
      </c>
    </row>
    <row r="30" spans="1:14" ht="15.75">
      <c r="A30" s="180">
        <v>2003</v>
      </c>
      <c r="B30" s="193">
        <f>'2003'!C45/1000</f>
        <v>8072.541</v>
      </c>
      <c r="C30" s="193">
        <f>'2003'!D45/1000</f>
        <v>6150.464</v>
      </c>
      <c r="D30" s="193">
        <f>'2003'!E45/1000</f>
        <v>6366.705</v>
      </c>
      <c r="E30" s="193">
        <f>'2003'!F45/1000</f>
        <v>7485.483</v>
      </c>
      <c r="F30" s="193">
        <f>'2003'!G45/1000</f>
        <v>7710.655</v>
      </c>
      <c r="G30" s="193">
        <f>'2003'!H45/1000</f>
        <v>5796.795</v>
      </c>
      <c r="H30" s="193">
        <f>'2003'!I45/1000</f>
        <v>3597.838</v>
      </c>
      <c r="I30" s="193">
        <f>'2003'!J45/1000</f>
        <v>2080.092</v>
      </c>
      <c r="J30" s="193">
        <f>'2003'!K45/1000</f>
        <v>3241.943</v>
      </c>
      <c r="K30" s="193">
        <f>'2003'!L45/1000</f>
        <v>6019.679</v>
      </c>
      <c r="L30" s="193">
        <f>'2003'!M45/1000</f>
        <v>4980.038</v>
      </c>
      <c r="M30" s="193">
        <f>'2003'!N45/1000</f>
        <v>5780.277</v>
      </c>
      <c r="N30" s="194">
        <f t="shared" si="0"/>
        <v>67282.51</v>
      </c>
    </row>
    <row r="31" spans="1:14" ht="15.75">
      <c r="A31" s="180">
        <v>2004</v>
      </c>
      <c r="B31" s="193">
        <f>'2004'!C45/1000</f>
        <v>6441.843</v>
      </c>
      <c r="C31" s="193">
        <f>'2004'!D45/1000</f>
        <v>5659.322</v>
      </c>
      <c r="D31" s="193">
        <f>'2004'!E45/1000</f>
        <v>7041.92</v>
      </c>
      <c r="E31" s="193">
        <f>'2004'!F45/1000</f>
        <v>7266.96</v>
      </c>
      <c r="F31" s="193">
        <f>'2004'!G45/1000</f>
        <v>6745.108</v>
      </c>
      <c r="G31" s="193">
        <f>'2004'!H45/1000</f>
        <v>4669.561</v>
      </c>
      <c r="H31" s="193">
        <f>'2004'!I45/1000</f>
        <v>1754.36</v>
      </c>
      <c r="I31" s="193">
        <f>'2004'!J45/1000</f>
        <v>1770.075</v>
      </c>
      <c r="J31" s="193">
        <f>'2004'!K45/1000</f>
        <v>2534.979</v>
      </c>
      <c r="K31" s="193">
        <f>'2004'!L45/1000</f>
        <v>4859.696</v>
      </c>
      <c r="L31" s="193">
        <f>'2004'!M45/1000</f>
        <v>5737.547</v>
      </c>
      <c r="M31" s="193">
        <f>'2004'!N45/1000</f>
        <v>5222.364</v>
      </c>
      <c r="N31" s="194">
        <f t="shared" si="0"/>
        <v>59703.73499999999</v>
      </c>
    </row>
    <row r="32" spans="1:36" ht="15.75">
      <c r="A32" s="180">
        <v>2005</v>
      </c>
      <c r="B32" s="193">
        <f>'2005'!C49/1000</f>
        <v>7610.97</v>
      </c>
      <c r="C32" s="193">
        <f>'2005'!D49/1000</f>
        <v>6739.815</v>
      </c>
      <c r="D32" s="193">
        <f>'2005'!E49/1000</f>
        <v>7592.127</v>
      </c>
      <c r="E32" s="193">
        <f>'2005'!F49/1000</f>
        <v>7712.02</v>
      </c>
      <c r="F32" s="193">
        <f>'2005'!G49/1000</f>
        <v>7978.365</v>
      </c>
      <c r="G32" s="193">
        <f>'2005'!H49/1000</f>
        <v>6205.205</v>
      </c>
      <c r="H32" s="193">
        <f>'2005'!I49/1000</f>
        <v>3735.115</v>
      </c>
      <c r="I32" s="193">
        <f>'2005'!J49/1000</f>
        <v>3046.745</v>
      </c>
      <c r="J32" s="193">
        <f>'2005'!K49/1000</f>
        <v>3767.248</v>
      </c>
      <c r="K32" s="193">
        <f>'2005'!L49/1000</f>
        <v>5183.53</v>
      </c>
      <c r="L32" s="193">
        <f>'2005'!M49/1000</f>
        <v>5841.285</v>
      </c>
      <c r="M32" s="193">
        <f>'2005'!N49/1000</f>
        <v>6157.127</v>
      </c>
      <c r="N32" s="194">
        <f t="shared" si="0"/>
        <v>71569.552</v>
      </c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</row>
    <row r="33" spans="1:14" ht="15.75">
      <c r="A33" s="180">
        <v>2006</v>
      </c>
      <c r="B33" s="193">
        <f>'2006'!C49/1000</f>
        <v>6518.754</v>
      </c>
      <c r="C33" s="193">
        <f>'2006'!D49/1000</f>
        <v>6043.982</v>
      </c>
      <c r="D33" s="193">
        <f>'2006'!E49/1000</f>
        <v>7486.634</v>
      </c>
      <c r="E33" s="193">
        <f>'2006'!F49/1000</f>
        <v>7054.938</v>
      </c>
      <c r="F33" s="193">
        <f>'2006'!G49/1000</f>
        <v>8679.833</v>
      </c>
      <c r="G33" s="193">
        <f>'2006'!H49/1000</f>
        <v>6739.502</v>
      </c>
      <c r="H33" s="193">
        <f>'2006'!I49/1000</f>
        <v>4110.595</v>
      </c>
      <c r="I33" s="193">
        <f>'2006'!J49/1000</f>
        <v>3743.768</v>
      </c>
      <c r="J33" s="193">
        <f>'2006'!K49/1000</f>
        <v>3784.975</v>
      </c>
      <c r="K33" s="193">
        <f>'2006'!L49/1000</f>
        <v>5521.646</v>
      </c>
      <c r="L33" s="193">
        <f>'2006'!M49/1000</f>
        <v>5929.672</v>
      </c>
      <c r="M33" s="193">
        <f>'2006'!N49/1000</f>
        <v>7393.96</v>
      </c>
      <c r="N33" s="194">
        <f t="shared" si="0"/>
        <v>73008.25900000002</v>
      </c>
    </row>
    <row r="34" spans="1:14" ht="15.75">
      <c r="A34" s="180">
        <v>2007</v>
      </c>
      <c r="B34" s="193">
        <f>'2007'!C49/1000</f>
        <v>9739.202</v>
      </c>
      <c r="C34" s="193">
        <f>'2007'!D49/1000</f>
        <v>8073.441</v>
      </c>
      <c r="D34" s="193">
        <f>'2007'!E49/1000</f>
        <v>8154.212</v>
      </c>
      <c r="E34" s="193">
        <f>'2007'!F49/1000</f>
        <v>8724.058</v>
      </c>
      <c r="F34" s="193">
        <f>'2007'!G49/1000</f>
        <v>9143.005</v>
      </c>
      <c r="G34" s="193">
        <f>'2007'!H49/1000</f>
        <v>7113.142</v>
      </c>
      <c r="H34" s="193">
        <f>'2007'!I49/1000</f>
        <v>5748.879</v>
      </c>
      <c r="I34" s="193">
        <f>'2007'!J49/1000</f>
        <v>4954.504</v>
      </c>
      <c r="J34" s="193">
        <f>'2007'!K49/1000</f>
        <v>4945.457</v>
      </c>
      <c r="K34" s="193">
        <f>'2007'!L49/1000</f>
        <v>7011.636</v>
      </c>
      <c r="L34" s="193">
        <f>'2007'!M49/1000</f>
        <v>6626.631</v>
      </c>
      <c r="M34" s="193">
        <f>'2007'!N49/1000</f>
        <v>7677.305</v>
      </c>
      <c r="N34" s="194">
        <f t="shared" si="0"/>
        <v>87911.47199999998</v>
      </c>
    </row>
    <row r="35" spans="1:14" ht="15.75">
      <c r="A35" s="180">
        <v>2008</v>
      </c>
      <c r="B35" s="193">
        <f>'2008'!C49/1000</f>
        <v>8301.541</v>
      </c>
      <c r="C35" s="193">
        <f>'2008'!D49/1000</f>
        <v>6841.222</v>
      </c>
      <c r="D35" s="193">
        <f>'2008'!E49/1000</f>
        <v>7078.262</v>
      </c>
      <c r="E35" s="193">
        <f>'2008'!F49/1000</f>
        <v>9166.203</v>
      </c>
      <c r="F35" s="193">
        <f>'2008'!G49/1000</f>
        <v>9433.063</v>
      </c>
      <c r="G35" s="193">
        <f>'2008'!H49/1000</f>
        <v>6992.478</v>
      </c>
      <c r="H35" s="193">
        <f>'2008'!I49/1000</f>
        <v>5240.854</v>
      </c>
      <c r="I35" s="193">
        <f>'2008'!J49/1000</f>
        <v>4362.09</v>
      </c>
      <c r="J35" s="193">
        <f>'2008'!K49/1000</f>
        <v>5271.88</v>
      </c>
      <c r="K35" s="193">
        <f>'2008'!L49/1000</f>
        <v>6819.04</v>
      </c>
      <c r="L35" s="193">
        <f>'2008'!M49/1000</f>
        <v>7338.57</v>
      </c>
      <c r="M35" s="193">
        <f>'2008'!N49/1000</f>
        <v>8853.184</v>
      </c>
      <c r="N35" s="194">
        <f t="shared" si="0"/>
        <v>85698.387</v>
      </c>
    </row>
    <row r="36" spans="1:14" s="191" customFormat="1" ht="15.75">
      <c r="A36" s="180">
        <v>2009</v>
      </c>
      <c r="B36" s="193">
        <f>'2009'!C49/1000</f>
        <v>7999.288</v>
      </c>
      <c r="C36" s="193">
        <f>'2009'!D49/1000</f>
        <v>6593.108</v>
      </c>
      <c r="D36" s="193">
        <f>'2009'!E49/1000</f>
        <v>8276.128</v>
      </c>
      <c r="E36" s="193">
        <f>'2009'!F49/1000</f>
        <v>8865.797</v>
      </c>
      <c r="F36" s="193">
        <f>'2009'!G49/1000</f>
        <v>8790.488</v>
      </c>
      <c r="G36" s="193">
        <f>'2009'!H49/1000</f>
        <v>8457.526</v>
      </c>
      <c r="H36" s="193">
        <f>'2009'!I49/1000</f>
        <v>5310.881</v>
      </c>
      <c r="I36" s="193">
        <f>'2009'!J49/1000</f>
        <v>3663.139</v>
      </c>
      <c r="J36" s="193">
        <f>'2009'!K49/1000</f>
        <v>4499.343</v>
      </c>
      <c r="K36" s="193">
        <f>'2009'!L49/1000</f>
        <v>6616.654</v>
      </c>
      <c r="L36" s="193">
        <f>'2009'!M49/1000</f>
        <v>8673.011</v>
      </c>
      <c r="M36" s="193">
        <f>'2009'!N49/1000</f>
        <v>9435.272</v>
      </c>
      <c r="N36" s="194">
        <f t="shared" si="0"/>
        <v>87180.635</v>
      </c>
    </row>
    <row r="37" spans="1:14" s="191" customFormat="1" ht="15.75">
      <c r="A37" s="180">
        <v>2010</v>
      </c>
      <c r="B37" s="193">
        <f>'2010'!C49/1000</f>
        <v>10108.672</v>
      </c>
      <c r="C37" s="193">
        <f>'2010'!D49/1000</f>
        <v>9462.774</v>
      </c>
      <c r="D37" s="193">
        <f>'2010'!E49/1000</f>
        <v>11161.269</v>
      </c>
      <c r="E37" s="193">
        <f>'2010'!F49/1000</f>
        <v>9561.174</v>
      </c>
      <c r="F37" s="193">
        <f>'2010'!G49/1000</f>
        <v>9653.966</v>
      </c>
      <c r="G37" s="193">
        <f>'2010'!H49/1000</f>
        <v>8100.663</v>
      </c>
      <c r="H37" s="193">
        <f>'2010'!I49/1000</f>
        <v>4844.619</v>
      </c>
      <c r="I37" s="193">
        <f>'2010'!J49/1000</f>
        <v>3253.388</v>
      </c>
      <c r="J37" s="193">
        <f>'2010'!K49/1000</f>
        <v>3316.588</v>
      </c>
      <c r="K37" s="193">
        <f>'2010'!L49/1000</f>
        <v>6618.017</v>
      </c>
      <c r="L37" s="193">
        <f>'2010'!M49/1000</f>
        <v>9258.5</v>
      </c>
      <c r="M37" s="193">
        <f>'2010'!N49/1000</f>
        <v>8876.151</v>
      </c>
      <c r="N37" s="194">
        <f t="shared" si="0"/>
        <v>94215.781</v>
      </c>
    </row>
    <row r="38" spans="1:14" s="191" customFormat="1" ht="15.75">
      <c r="A38" s="180">
        <v>2011</v>
      </c>
      <c r="B38" s="193">
        <f>'2011'!C49/1000</f>
        <v>9392.223</v>
      </c>
      <c r="C38" s="193">
        <f>'2011'!D49/1000</f>
        <v>8073.73</v>
      </c>
      <c r="D38" s="193">
        <f>'2011'!E49/1000</f>
        <v>8810.864</v>
      </c>
      <c r="E38" s="193">
        <f>'2011'!F49/1000</f>
        <v>9159.36061</v>
      </c>
      <c r="F38" s="193">
        <f>'2011'!G49/1000</f>
        <v>10335.538</v>
      </c>
      <c r="G38" s="193">
        <f>'2011'!H49/1000</f>
        <v>9271.527199999999</v>
      </c>
      <c r="H38" s="193">
        <f>'2011'!I49/1000</f>
        <v>6937.329</v>
      </c>
      <c r="I38" s="193">
        <f>'2011'!J49/1000</f>
        <v>6055.576</v>
      </c>
      <c r="J38" s="193">
        <f>'2011'!K49/1000</f>
        <v>6956.537</v>
      </c>
      <c r="K38" s="193">
        <f>'2011'!L49/1000</f>
        <v>8481.308</v>
      </c>
      <c r="L38" s="193" t="e">
        <f>'2011'!M49/1000</f>
        <v>#N/A</v>
      </c>
      <c r="M38" s="193" t="e">
        <f>'2011'!N49/1000</f>
        <v>#N/A</v>
      </c>
      <c r="N38" s="193" t="e">
        <f>'2011'!O49/1000</f>
        <v>#N/A</v>
      </c>
    </row>
    <row r="39" spans="1:14" s="191" customFormat="1" ht="15.75">
      <c r="A39" s="180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1"/>
    </row>
    <row r="40" spans="1:14" s="191" customFormat="1" ht="15.75">
      <c r="A40" s="180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1"/>
    </row>
    <row r="41" spans="1:14" s="191" customFormat="1" ht="15.75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s="191" customFormat="1" ht="15.7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  <row r="43" spans="1:14" s="191" customFormat="1" ht="15.75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</row>
    <row r="44" spans="1:14" s="191" customFormat="1" ht="15.75">
      <c r="A44" s="360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</row>
    <row r="45" spans="1:14" s="191" customFormat="1" ht="15.75">
      <c r="A45" s="361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</row>
    <row r="46" spans="1:14" s="191" customFormat="1" ht="15.75">
      <c r="A46" s="363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spans="1:14" s="191" customFormat="1" ht="15.75">
      <c r="A47" s="180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1"/>
    </row>
    <row r="48" spans="1:14" s="191" customFormat="1" ht="15.75">
      <c r="A48" s="180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1"/>
    </row>
    <row r="49" spans="1:14" s="191" customFormat="1" ht="15.75">
      <c r="A49" s="180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1"/>
    </row>
    <row r="50" spans="1:14" s="191" customFormat="1" ht="15.75">
      <c r="A50" s="180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1"/>
    </row>
    <row r="51" spans="1:14" s="191" customFormat="1" ht="15.75">
      <c r="A51" s="180"/>
      <c r="B51" s="188"/>
      <c r="C51" s="189"/>
      <c r="D51" s="188"/>
      <c r="E51" s="189"/>
      <c r="F51" s="189"/>
      <c r="G51" s="189"/>
      <c r="H51" s="188"/>
      <c r="I51" s="189"/>
      <c r="J51" s="188"/>
      <c r="K51" s="188"/>
      <c r="L51" s="188"/>
      <c r="M51" s="189"/>
      <c r="N51" s="181"/>
    </row>
    <row r="52" spans="1:14" s="191" customFormat="1" ht="15.75">
      <c r="A52" s="180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364"/>
    </row>
    <row r="53" spans="1:14" s="191" customFormat="1" ht="15.75">
      <c r="A53" s="180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1"/>
    </row>
    <row r="54" spans="1:14" s="191" customFormat="1" ht="15.75">
      <c r="A54" s="180"/>
      <c r="B54" s="188"/>
      <c r="C54" s="188"/>
      <c r="D54" s="188"/>
      <c r="E54" s="190"/>
      <c r="F54" s="188"/>
      <c r="G54" s="188"/>
      <c r="H54" s="188"/>
      <c r="I54" s="188"/>
      <c r="J54" s="188"/>
      <c r="K54" s="188"/>
      <c r="L54" s="188"/>
      <c r="M54" s="188"/>
      <c r="N54" s="181"/>
    </row>
    <row r="55" spans="1:14" s="191" customFormat="1" ht="15.7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="191" customFormat="1" ht="15.75"/>
    <row r="57" s="191" customFormat="1" ht="15.75"/>
    <row r="58" s="191" customFormat="1" ht="15.75"/>
    <row r="59" s="191" customFormat="1" ht="15.75"/>
    <row r="60" spans="1:14" ht="15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</row>
    <row r="61" spans="1:14" ht="15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spans="1:14" ht="15.7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3" spans="1:14" ht="15.7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</row>
    <row r="64" spans="1:14" ht="15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 ht="15.7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1:14" ht="15.7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  <row r="67" spans="1:14" ht="15.7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ht="15.7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4" ht="15.7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</row>
    <row r="70" spans="1:14" ht="15.7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</row>
    <row r="71" spans="1:14" ht="15.7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</row>
    <row r="72" spans="1:14" ht="15.7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</row>
    <row r="73" spans="1:14" ht="15.7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</row>
    <row r="74" spans="1:14" ht="15.7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</row>
    <row r="75" spans="1:14" ht="15.7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</row>
    <row r="76" spans="1:14" ht="15.7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</row>
    <row r="77" spans="1:14" ht="15.7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</row>
    <row r="78" spans="1:14" ht="15.7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</row>
    <row r="79" spans="1:14" ht="15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</row>
    <row r="80" spans="1:14" ht="15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</row>
    <row r="81" spans="1:14" ht="15.7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</row>
    <row r="82" spans="1:14" ht="15.7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 ht="15.7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</row>
    <row r="84" spans="1:14" ht="15.7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</row>
    <row r="85" spans="1:14" ht="15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1:14" ht="15.7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</row>
    <row r="87" spans="1:14" ht="15.7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</row>
    <row r="88" spans="1:14" ht="15.7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</row>
    <row r="89" spans="1:14" ht="15.7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</row>
    <row r="90" spans="1:14" ht="15.7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</row>
    <row r="91" spans="1:14" ht="15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</row>
    <row r="92" spans="1:14" ht="15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</row>
    <row r="93" spans="1:14" ht="15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</row>
    <row r="94" spans="1:14" ht="15.7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</row>
    <row r="95" spans="1:14" ht="15.7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</row>
    <row r="96" spans="1:14" ht="15.7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</row>
    <row r="97" spans="1:14" ht="15.7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</row>
    <row r="98" spans="1:14" ht="15.7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</row>
    <row r="99" spans="1:14" ht="15.7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</row>
    <row r="100" spans="1:14" ht="15.7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</row>
    <row r="101" spans="1:14" ht="15.7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29">
      <selection activeCell="E57" sqref="E57"/>
    </sheetView>
  </sheetViews>
  <sheetFormatPr defaultColWidth="11.5546875" defaultRowHeight="15"/>
  <cols>
    <col min="1" max="1" width="0.9921875" style="387" customWidth="1"/>
    <col min="2" max="2" width="13.99609375" style="387" customWidth="1"/>
    <col min="3" max="3" width="6.99609375" style="387" customWidth="1"/>
    <col min="4" max="6" width="6.88671875" style="387" bestFit="1" customWidth="1"/>
    <col min="7" max="7" width="6.6640625" style="387" customWidth="1"/>
    <col min="8" max="8" width="7.77734375" style="387" customWidth="1"/>
    <col min="9" max="9" width="7.6640625" style="387" bestFit="1" customWidth="1"/>
    <col min="10" max="10" width="7.6640625" style="387" customWidth="1"/>
    <col min="11" max="11" width="8.6640625" style="387" customWidth="1"/>
    <col min="12" max="12" width="7.6640625" style="387" customWidth="1"/>
    <col min="13" max="13" width="9.10546875" style="387" customWidth="1"/>
    <col min="14" max="14" width="10.21484375" style="387" customWidth="1"/>
    <col min="15" max="15" width="8.6640625" style="387" customWidth="1"/>
    <col min="16" max="16" width="8.88671875" style="387" customWidth="1"/>
    <col min="17" max="16384" width="11.5546875" style="387" customWidth="1"/>
  </cols>
  <sheetData>
    <row r="1" spans="1:35" ht="12.75">
      <c r="A1" s="123"/>
      <c r="B1" s="23" t="s">
        <v>199</v>
      </c>
      <c r="C1" s="124" t="s">
        <v>198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23"/>
      <c r="S3" s="23"/>
      <c r="T3" s="4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4.2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23"/>
      <c r="S4" s="23"/>
      <c r="T4" s="425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97"/>
      <c r="S5" s="297"/>
      <c r="T5" s="297"/>
      <c r="U5" s="297"/>
      <c r="V5" s="426"/>
      <c r="W5" s="297"/>
      <c r="X5" s="297"/>
      <c r="Y5" s="297"/>
      <c r="Z5" s="297"/>
      <c r="AA5" s="297"/>
      <c r="AB5" s="426"/>
      <c r="AC5" s="297"/>
      <c r="AD5" s="297"/>
      <c r="AE5" s="297"/>
      <c r="AF5" s="297"/>
      <c r="AG5" s="297"/>
      <c r="AH5" s="297"/>
      <c r="AI5" s="297"/>
    </row>
    <row r="6" spans="1:35" s="388" customFormat="1" ht="12.75">
      <c r="A6" s="157"/>
      <c r="B6" s="157" t="s">
        <v>17</v>
      </c>
      <c r="C6" s="204" t="e">
        <f>NA()</f>
        <v>#N/A</v>
      </c>
      <c r="D6" s="204" t="e">
        <f>NA()</f>
        <v>#N/A</v>
      </c>
      <c r="E6" s="204" t="e">
        <f>NA()</f>
        <v>#N/A</v>
      </c>
      <c r="F6" s="204" t="e">
        <f>NA()</f>
        <v>#N/A</v>
      </c>
      <c r="G6" s="204" t="e">
        <f>NA()</f>
        <v>#N/A</v>
      </c>
      <c r="H6" s="204" t="e">
        <f>NA()</f>
        <v>#N/A</v>
      </c>
      <c r="I6" s="204" t="e">
        <f>NA()</f>
        <v>#N/A</v>
      </c>
      <c r="J6" s="204" t="e">
        <f>NA()</f>
        <v>#N/A</v>
      </c>
      <c r="K6" s="204" t="e">
        <f>NA()</f>
        <v>#N/A</v>
      </c>
      <c r="L6" s="204" t="e">
        <f>NA()</f>
        <v>#N/A</v>
      </c>
      <c r="M6" s="204" t="e">
        <f>NA()</f>
        <v>#N/A</v>
      </c>
      <c r="N6" s="204" t="e">
        <f>NA()</f>
        <v>#N/A</v>
      </c>
      <c r="O6" s="198" t="e">
        <f aca="true" t="shared" si="0" ref="O6:O14">SUM(C6:N6)</f>
        <v>#N/A</v>
      </c>
      <c r="P6" s="308" t="e">
        <f aca="true" t="shared" si="1" ref="P6:P15">+O6/$O$19</f>
        <v>#N/A</v>
      </c>
      <c r="Q6" s="204"/>
      <c r="R6" s="297"/>
      <c r="S6" s="297"/>
      <c r="T6" s="328"/>
      <c r="U6" s="338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s="388" customFormat="1" ht="12.75">
      <c r="A7" s="157"/>
      <c r="B7" s="157" t="s">
        <v>18</v>
      </c>
      <c r="C7" s="204" t="e">
        <f>NA()</f>
        <v>#N/A</v>
      </c>
      <c r="D7" s="204" t="e">
        <f>NA()</f>
        <v>#N/A</v>
      </c>
      <c r="E7" s="204" t="e">
        <f>NA()</f>
        <v>#N/A</v>
      </c>
      <c r="F7" s="204" t="e">
        <f>NA()</f>
        <v>#N/A</v>
      </c>
      <c r="G7" s="204" t="e">
        <f>NA()</f>
        <v>#N/A</v>
      </c>
      <c r="H7" s="204" t="e">
        <f>NA()</f>
        <v>#N/A</v>
      </c>
      <c r="I7" s="204" t="e">
        <f>NA()</f>
        <v>#N/A</v>
      </c>
      <c r="J7" s="204" t="e">
        <f>NA()</f>
        <v>#N/A</v>
      </c>
      <c r="K7" s="204" t="e">
        <f>NA()</f>
        <v>#N/A</v>
      </c>
      <c r="L7" s="204" t="e">
        <f>NA()</f>
        <v>#N/A</v>
      </c>
      <c r="M7" s="204" t="e">
        <f>NA()</f>
        <v>#N/A</v>
      </c>
      <c r="N7" s="204" t="e">
        <f>NA()</f>
        <v>#N/A</v>
      </c>
      <c r="O7" s="198" t="e">
        <f t="shared" si="0"/>
        <v>#N/A</v>
      </c>
      <c r="P7" s="308" t="e">
        <f t="shared" si="1"/>
        <v>#N/A</v>
      </c>
      <c r="Q7" s="204"/>
      <c r="R7" s="297"/>
      <c r="S7" s="297"/>
      <c r="T7" s="328"/>
      <c r="U7" s="338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</row>
    <row r="8" spans="1:35" s="388" customFormat="1" ht="12.75">
      <c r="A8" s="157"/>
      <c r="B8" s="157" t="s">
        <v>19</v>
      </c>
      <c r="C8" s="204" t="e">
        <f>NA()</f>
        <v>#N/A</v>
      </c>
      <c r="D8" s="204" t="e">
        <f>NA()</f>
        <v>#N/A</v>
      </c>
      <c r="E8" s="204" t="e">
        <f>NA()</f>
        <v>#N/A</v>
      </c>
      <c r="F8" s="204" t="e">
        <f>NA()</f>
        <v>#N/A</v>
      </c>
      <c r="G8" s="204" t="e">
        <f>NA()</f>
        <v>#N/A</v>
      </c>
      <c r="H8" s="204" t="e">
        <f>NA()</f>
        <v>#N/A</v>
      </c>
      <c r="I8" s="204" t="e">
        <f>NA()</f>
        <v>#N/A</v>
      </c>
      <c r="J8" s="204" t="e">
        <f>NA()</f>
        <v>#N/A</v>
      </c>
      <c r="K8" s="204" t="e">
        <f>NA()</f>
        <v>#N/A</v>
      </c>
      <c r="L8" s="204" t="e">
        <f>NA()</f>
        <v>#N/A</v>
      </c>
      <c r="M8" s="204" t="e">
        <f>NA()</f>
        <v>#N/A</v>
      </c>
      <c r="N8" s="204" t="e">
        <f>NA()</f>
        <v>#N/A</v>
      </c>
      <c r="O8" s="198" t="e">
        <f t="shared" si="0"/>
        <v>#N/A</v>
      </c>
      <c r="P8" s="308" t="e">
        <f t="shared" si="1"/>
        <v>#N/A</v>
      </c>
      <c r="Q8" s="204"/>
      <c r="R8" s="297"/>
      <c r="S8" s="297"/>
      <c r="T8" s="328"/>
      <c r="U8" s="338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s="388" customFormat="1" ht="12.75">
      <c r="A9" s="157"/>
      <c r="B9" s="157" t="s">
        <v>20</v>
      </c>
      <c r="C9" s="204" t="e">
        <f>NA()</f>
        <v>#N/A</v>
      </c>
      <c r="D9" s="204" t="e">
        <f>NA()</f>
        <v>#N/A</v>
      </c>
      <c r="E9" s="204" t="e">
        <f>NA()</f>
        <v>#N/A</v>
      </c>
      <c r="F9" s="204" t="e">
        <f>NA()</f>
        <v>#N/A</v>
      </c>
      <c r="G9" s="204" t="e">
        <f>NA()</f>
        <v>#N/A</v>
      </c>
      <c r="H9" s="204" t="e">
        <f>NA()</f>
        <v>#N/A</v>
      </c>
      <c r="I9" s="204" t="e">
        <f>NA()</f>
        <v>#N/A</v>
      </c>
      <c r="J9" s="204" t="e">
        <f>NA()</f>
        <v>#N/A</v>
      </c>
      <c r="K9" s="204" t="e">
        <f>NA()</f>
        <v>#N/A</v>
      </c>
      <c r="L9" s="204" t="e">
        <f>NA()</f>
        <v>#N/A</v>
      </c>
      <c r="M9" s="204" t="e">
        <f>NA()</f>
        <v>#N/A</v>
      </c>
      <c r="N9" s="204" t="e">
        <f>NA()</f>
        <v>#N/A</v>
      </c>
      <c r="O9" s="198" t="e">
        <f t="shared" si="0"/>
        <v>#N/A</v>
      </c>
      <c r="P9" s="308" t="e">
        <f t="shared" si="1"/>
        <v>#N/A</v>
      </c>
      <c r="Q9" s="204"/>
      <c r="R9" s="297"/>
      <c r="S9" s="297"/>
      <c r="T9" s="328"/>
      <c r="U9" s="33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s="388" customFormat="1" ht="12.75">
      <c r="A10" s="157"/>
      <c r="B10" s="157" t="s">
        <v>21</v>
      </c>
      <c r="C10" s="204" t="e">
        <f>NA()</f>
        <v>#N/A</v>
      </c>
      <c r="D10" s="204" t="e">
        <f>NA()</f>
        <v>#N/A</v>
      </c>
      <c r="E10" s="204" t="e">
        <f>NA()</f>
        <v>#N/A</v>
      </c>
      <c r="F10" s="204" t="e">
        <f>NA()</f>
        <v>#N/A</v>
      </c>
      <c r="G10" s="204" t="e">
        <f>NA()</f>
        <v>#N/A</v>
      </c>
      <c r="H10" s="204" t="e">
        <f>NA()</f>
        <v>#N/A</v>
      </c>
      <c r="I10" s="204" t="e">
        <f>NA()</f>
        <v>#N/A</v>
      </c>
      <c r="J10" s="204" t="e">
        <f>NA()</f>
        <v>#N/A</v>
      </c>
      <c r="K10" s="204" t="e">
        <f>NA()</f>
        <v>#N/A</v>
      </c>
      <c r="L10" s="204" t="e">
        <f>NA()</f>
        <v>#N/A</v>
      </c>
      <c r="M10" s="204" t="e">
        <f>NA()</f>
        <v>#N/A</v>
      </c>
      <c r="N10" s="204" t="e">
        <f>NA()</f>
        <v>#N/A</v>
      </c>
      <c r="O10" s="198" t="e">
        <f t="shared" si="0"/>
        <v>#N/A</v>
      </c>
      <c r="P10" s="308" t="e">
        <f t="shared" si="1"/>
        <v>#N/A</v>
      </c>
      <c r="Q10" s="204"/>
      <c r="R10" s="297"/>
      <c r="S10" s="297"/>
      <c r="T10" s="328"/>
      <c r="U10" s="338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</row>
    <row r="11" spans="1:35" s="388" customFormat="1" ht="12.75">
      <c r="A11" s="157"/>
      <c r="B11" s="157" t="s">
        <v>22</v>
      </c>
      <c r="C11" s="204" t="e">
        <f>NA()</f>
        <v>#N/A</v>
      </c>
      <c r="D11" s="204" t="e">
        <f>NA()</f>
        <v>#N/A</v>
      </c>
      <c r="E11" s="204" t="e">
        <f>NA()</f>
        <v>#N/A</v>
      </c>
      <c r="F11" s="204" t="e">
        <f>NA()</f>
        <v>#N/A</v>
      </c>
      <c r="G11" s="204" t="e">
        <f>NA()</f>
        <v>#N/A</v>
      </c>
      <c r="H11" s="204" t="e">
        <f>NA()</f>
        <v>#N/A</v>
      </c>
      <c r="I11" s="204" t="e">
        <f>NA()</f>
        <v>#N/A</v>
      </c>
      <c r="J11" s="204" t="e">
        <f>NA()</f>
        <v>#N/A</v>
      </c>
      <c r="K11" s="204" t="e">
        <f>NA()</f>
        <v>#N/A</v>
      </c>
      <c r="L11" s="204" t="e">
        <f>NA()</f>
        <v>#N/A</v>
      </c>
      <c r="M11" s="204" t="e">
        <f>NA()</f>
        <v>#N/A</v>
      </c>
      <c r="N11" s="204" t="e">
        <f>NA()</f>
        <v>#N/A</v>
      </c>
      <c r="O11" s="198" t="e">
        <f t="shared" si="0"/>
        <v>#N/A</v>
      </c>
      <c r="P11" s="308" t="e">
        <f t="shared" si="1"/>
        <v>#N/A</v>
      </c>
      <c r="Q11" s="204"/>
      <c r="R11" s="297"/>
      <c r="S11" s="297"/>
      <c r="T11" s="328"/>
      <c r="U11" s="338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1:35" s="388" customFormat="1" ht="12.75">
      <c r="A12" s="157"/>
      <c r="B12" s="157" t="s">
        <v>23</v>
      </c>
      <c r="C12" s="204" t="e">
        <f>NA()</f>
        <v>#N/A</v>
      </c>
      <c r="D12" s="204" t="e">
        <f>NA()</f>
        <v>#N/A</v>
      </c>
      <c r="E12" s="204" t="e">
        <f>NA()</f>
        <v>#N/A</v>
      </c>
      <c r="F12" s="204" t="e">
        <f>NA()</f>
        <v>#N/A</v>
      </c>
      <c r="G12" s="204" t="e">
        <f>NA()</f>
        <v>#N/A</v>
      </c>
      <c r="H12" s="204" t="e">
        <f>NA()</f>
        <v>#N/A</v>
      </c>
      <c r="I12" s="204" t="e">
        <f>NA()</f>
        <v>#N/A</v>
      </c>
      <c r="J12" s="204" t="e">
        <f>NA()</f>
        <v>#N/A</v>
      </c>
      <c r="K12" s="204" t="e">
        <f>NA()</f>
        <v>#N/A</v>
      </c>
      <c r="L12" s="204" t="e">
        <f>NA()</f>
        <v>#N/A</v>
      </c>
      <c r="M12" s="204" t="e">
        <f>NA()</f>
        <v>#N/A</v>
      </c>
      <c r="N12" s="204" t="e">
        <f>NA()</f>
        <v>#N/A</v>
      </c>
      <c r="O12" s="198" t="e">
        <f t="shared" si="0"/>
        <v>#N/A</v>
      </c>
      <c r="P12" s="308" t="e">
        <f t="shared" si="1"/>
        <v>#N/A</v>
      </c>
      <c r="Q12" s="204"/>
      <c r="R12" s="297"/>
      <c r="S12" s="297"/>
      <c r="T12" s="328"/>
      <c r="U12" s="338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1:35" s="388" customFormat="1" ht="12.75">
      <c r="A13" s="157"/>
      <c r="B13" s="157" t="s">
        <v>24</v>
      </c>
      <c r="C13" s="204" t="e">
        <f>NA()</f>
        <v>#N/A</v>
      </c>
      <c r="D13" s="204" t="e">
        <f>NA()</f>
        <v>#N/A</v>
      </c>
      <c r="E13" s="204" t="e">
        <f>NA()</f>
        <v>#N/A</v>
      </c>
      <c r="F13" s="204" t="e">
        <f>NA()</f>
        <v>#N/A</v>
      </c>
      <c r="G13" s="204" t="e">
        <f>NA()</f>
        <v>#N/A</v>
      </c>
      <c r="H13" s="204" t="e">
        <f>NA()</f>
        <v>#N/A</v>
      </c>
      <c r="I13" s="204" t="e">
        <f>NA()</f>
        <v>#N/A</v>
      </c>
      <c r="J13" s="204" t="e">
        <f>NA()</f>
        <v>#N/A</v>
      </c>
      <c r="K13" s="204" t="e">
        <f>NA()</f>
        <v>#N/A</v>
      </c>
      <c r="L13" s="204" t="e">
        <f>NA()</f>
        <v>#N/A</v>
      </c>
      <c r="M13" s="204" t="e">
        <f>NA()</f>
        <v>#N/A</v>
      </c>
      <c r="N13" s="204" t="e">
        <f>NA()</f>
        <v>#N/A</v>
      </c>
      <c r="O13" s="198" t="e">
        <f t="shared" si="0"/>
        <v>#N/A</v>
      </c>
      <c r="P13" s="308" t="e">
        <f t="shared" si="1"/>
        <v>#N/A</v>
      </c>
      <c r="Q13" s="204"/>
      <c r="R13" s="297"/>
      <c r="S13" s="297"/>
      <c r="T13" s="328"/>
      <c r="U13" s="338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</row>
    <row r="14" spans="1:35" s="388" customFormat="1" ht="12.75">
      <c r="A14" s="157"/>
      <c r="B14" s="157" t="s">
        <v>25</v>
      </c>
      <c r="C14" s="204" t="e">
        <f>NA()</f>
        <v>#N/A</v>
      </c>
      <c r="D14" s="204" t="e">
        <f>NA()</f>
        <v>#N/A</v>
      </c>
      <c r="E14" s="204" t="e">
        <f>NA()</f>
        <v>#N/A</v>
      </c>
      <c r="F14" s="204" t="e">
        <f>NA()</f>
        <v>#N/A</v>
      </c>
      <c r="G14" s="204" t="e">
        <f>NA()</f>
        <v>#N/A</v>
      </c>
      <c r="H14" s="204" t="e">
        <f>NA()</f>
        <v>#N/A</v>
      </c>
      <c r="I14" s="204" t="e">
        <f>NA()</f>
        <v>#N/A</v>
      </c>
      <c r="J14" s="204" t="e">
        <f>NA()</f>
        <v>#N/A</v>
      </c>
      <c r="K14" s="204" t="e">
        <f>NA()</f>
        <v>#N/A</v>
      </c>
      <c r="L14" s="204" t="e">
        <f>NA()</f>
        <v>#N/A</v>
      </c>
      <c r="M14" s="204" t="e">
        <f>NA()</f>
        <v>#N/A</v>
      </c>
      <c r="N14" s="204" t="e">
        <f>NA()</f>
        <v>#N/A</v>
      </c>
      <c r="O14" s="198" t="e">
        <f t="shared" si="0"/>
        <v>#N/A</v>
      </c>
      <c r="P14" s="308" t="e">
        <f t="shared" si="1"/>
        <v>#N/A</v>
      </c>
      <c r="Q14" s="204"/>
      <c r="R14" s="297"/>
      <c r="S14" s="297"/>
      <c r="T14" s="328"/>
      <c r="U14" s="338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</row>
    <row r="15" spans="1:66" s="389" customFormat="1" ht="12.75">
      <c r="A15" s="200"/>
      <c r="B15" s="310" t="s">
        <v>26</v>
      </c>
      <c r="C15" s="311" t="e">
        <f aca="true" t="shared" si="2" ref="C15:O15">SUM(C6:C14)</f>
        <v>#N/A</v>
      </c>
      <c r="D15" s="311" t="e">
        <f t="shared" si="2"/>
        <v>#N/A</v>
      </c>
      <c r="E15" s="311" t="e">
        <f t="shared" si="2"/>
        <v>#N/A</v>
      </c>
      <c r="F15" s="311" t="e">
        <f t="shared" si="2"/>
        <v>#N/A</v>
      </c>
      <c r="G15" s="311" t="e">
        <f t="shared" si="2"/>
        <v>#N/A</v>
      </c>
      <c r="H15" s="311" t="e">
        <f t="shared" si="2"/>
        <v>#N/A</v>
      </c>
      <c r="I15" s="311" t="e">
        <f t="shared" si="2"/>
        <v>#N/A</v>
      </c>
      <c r="J15" s="311" t="e">
        <f t="shared" si="2"/>
        <v>#N/A</v>
      </c>
      <c r="K15" s="311" t="e">
        <f t="shared" si="2"/>
        <v>#N/A</v>
      </c>
      <c r="L15" s="311" t="e">
        <f t="shared" si="2"/>
        <v>#N/A</v>
      </c>
      <c r="M15" s="311" t="e">
        <f t="shared" si="2"/>
        <v>#N/A</v>
      </c>
      <c r="N15" s="311" t="e">
        <f t="shared" si="2"/>
        <v>#N/A</v>
      </c>
      <c r="O15" s="311" t="e">
        <f t="shared" si="2"/>
        <v>#N/A</v>
      </c>
      <c r="P15" s="312" t="e">
        <f t="shared" si="1"/>
        <v>#N/A</v>
      </c>
      <c r="Q15" s="313"/>
      <c r="R15" s="429"/>
      <c r="S15" s="429"/>
      <c r="T15" s="335"/>
      <c r="U15" s="430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66" s="389" customFormat="1" ht="12.7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313"/>
      <c r="R16" s="429"/>
      <c r="S16" s="429"/>
      <c r="T16" s="335"/>
      <c r="U16" s="430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1:35" s="388" customFormat="1" ht="12.75">
      <c r="A17" s="157"/>
      <c r="B17" s="157" t="s">
        <v>27</v>
      </c>
      <c r="C17" s="204" t="e">
        <f>NA()</f>
        <v>#N/A</v>
      </c>
      <c r="D17" s="204" t="e">
        <f>NA()</f>
        <v>#N/A</v>
      </c>
      <c r="E17" s="204" t="e">
        <f>NA()</f>
        <v>#N/A</v>
      </c>
      <c r="F17" s="204" t="e">
        <f>NA()</f>
        <v>#N/A</v>
      </c>
      <c r="G17" s="204" t="e">
        <f>NA()</f>
        <v>#N/A</v>
      </c>
      <c r="H17" s="204" t="e">
        <f>NA()</f>
        <v>#N/A</v>
      </c>
      <c r="I17" s="204" t="e">
        <f>NA()</f>
        <v>#N/A</v>
      </c>
      <c r="J17" s="204" t="e">
        <f>NA()</f>
        <v>#N/A</v>
      </c>
      <c r="K17" s="204" t="e">
        <f>NA()</f>
        <v>#N/A</v>
      </c>
      <c r="L17" s="204" t="e">
        <f>NA()</f>
        <v>#N/A</v>
      </c>
      <c r="M17" s="204" t="e">
        <f>NA()</f>
        <v>#N/A</v>
      </c>
      <c r="N17" s="204" t="e">
        <f>NA()</f>
        <v>#N/A</v>
      </c>
      <c r="O17" s="198" t="e">
        <f>SUM(C17:N17)</f>
        <v>#N/A</v>
      </c>
      <c r="P17" s="308" t="e">
        <f>NA()</f>
        <v>#N/A</v>
      </c>
      <c r="Q17" s="204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</row>
    <row r="18" spans="1:35" s="388" customFormat="1" ht="12.75">
      <c r="A18" s="157"/>
      <c r="B18" s="157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8"/>
      <c r="P18" s="320"/>
      <c r="Q18" s="204"/>
      <c r="R18" s="297"/>
      <c r="S18" s="297"/>
      <c r="T18" s="328"/>
      <c r="U18" s="338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</row>
    <row r="19" spans="1:35" s="388" customFormat="1" ht="12.75">
      <c r="A19" s="157"/>
      <c r="B19" s="196" t="s">
        <v>28</v>
      </c>
      <c r="C19" s="321" t="e">
        <f aca="true" t="shared" si="3" ref="C19:P19">+C15+C17</f>
        <v>#N/A</v>
      </c>
      <c r="D19" s="321" t="e">
        <f t="shared" si="3"/>
        <v>#N/A</v>
      </c>
      <c r="E19" s="321" t="e">
        <f t="shared" si="3"/>
        <v>#N/A</v>
      </c>
      <c r="F19" s="321" t="e">
        <f t="shared" si="3"/>
        <v>#N/A</v>
      </c>
      <c r="G19" s="321" t="e">
        <f t="shared" si="3"/>
        <v>#N/A</v>
      </c>
      <c r="H19" s="321" t="e">
        <f t="shared" si="3"/>
        <v>#N/A</v>
      </c>
      <c r="I19" s="321" t="e">
        <f t="shared" si="3"/>
        <v>#N/A</v>
      </c>
      <c r="J19" s="321" t="e">
        <f t="shared" si="3"/>
        <v>#N/A</v>
      </c>
      <c r="K19" s="321" t="e">
        <f t="shared" si="3"/>
        <v>#N/A</v>
      </c>
      <c r="L19" s="321" t="e">
        <f t="shared" si="3"/>
        <v>#N/A</v>
      </c>
      <c r="M19" s="321" t="e">
        <f t="shared" si="3"/>
        <v>#N/A</v>
      </c>
      <c r="N19" s="321" t="e">
        <f t="shared" si="3"/>
        <v>#N/A</v>
      </c>
      <c r="O19" s="321" t="e">
        <f t="shared" si="3"/>
        <v>#N/A</v>
      </c>
      <c r="P19" s="322" t="e">
        <f t="shared" si="3"/>
        <v>#N/A</v>
      </c>
      <c r="Q19" s="204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</row>
    <row r="20" spans="1:35" s="388" customFormat="1" ht="12.75">
      <c r="A20" s="157"/>
      <c r="B20" s="197" t="s">
        <v>50</v>
      </c>
      <c r="C20" s="323" t="e">
        <f>C19</f>
        <v>#N/A</v>
      </c>
      <c r="D20" s="323" t="e">
        <f aca="true" t="shared" si="4" ref="D20:N20">C20+D19</f>
        <v>#N/A</v>
      </c>
      <c r="E20" s="323" t="e">
        <f t="shared" si="4"/>
        <v>#N/A</v>
      </c>
      <c r="F20" s="323" t="e">
        <f t="shared" si="4"/>
        <v>#N/A</v>
      </c>
      <c r="G20" s="323" t="e">
        <f t="shared" si="4"/>
        <v>#N/A</v>
      </c>
      <c r="H20" s="323" t="e">
        <f t="shared" si="4"/>
        <v>#N/A</v>
      </c>
      <c r="I20" s="323" t="e">
        <f t="shared" si="4"/>
        <v>#N/A</v>
      </c>
      <c r="J20" s="323" t="e">
        <f t="shared" si="4"/>
        <v>#N/A</v>
      </c>
      <c r="K20" s="323" t="e">
        <f t="shared" si="4"/>
        <v>#N/A</v>
      </c>
      <c r="L20" s="323" t="e">
        <f t="shared" si="4"/>
        <v>#N/A</v>
      </c>
      <c r="M20" s="323" t="e">
        <f t="shared" si="4"/>
        <v>#N/A</v>
      </c>
      <c r="N20" s="323" t="e">
        <f t="shared" si="4"/>
        <v>#N/A</v>
      </c>
      <c r="O20" s="323"/>
      <c r="P20" s="322"/>
      <c r="Q20" s="204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</row>
    <row r="21" spans="1:35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</row>
    <row r="22" spans="1:35" ht="13.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122" t="s">
        <v>30</v>
      </c>
      <c r="B23" s="122"/>
      <c r="C23" s="123"/>
      <c r="D23" s="123"/>
      <c r="E23" s="123"/>
      <c r="F23" s="123"/>
      <c r="G23" s="123"/>
      <c r="H23" s="207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.7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.75">
      <c r="A25" s="123"/>
      <c r="B25" s="123"/>
      <c r="C25" s="124" t="s">
        <v>197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7"/>
      <c r="Q27" s="1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388" customFormat="1" ht="13.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198">
        <f>SUM(C29:N29)</f>
        <v>0</v>
      </c>
      <c r="P29" s="308" t="e">
        <f aca="true" t="shared" si="5" ref="P29:P37">+O29/$O$49</f>
        <v>#N/A</v>
      </c>
      <c r="Q29" s="204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</row>
    <row r="30" spans="1:35" s="388" customFormat="1" ht="12.75">
      <c r="A30" s="157"/>
      <c r="B30" s="157" t="s">
        <v>17</v>
      </c>
      <c r="C30" s="204" t="e">
        <f>NA()</f>
        <v>#N/A</v>
      </c>
      <c r="D30" s="204" t="e">
        <f>NA()</f>
        <v>#N/A</v>
      </c>
      <c r="E30" s="204" t="e">
        <f>NA()</f>
        <v>#N/A</v>
      </c>
      <c r="F30" s="204" t="e">
        <f>NA()</f>
        <v>#N/A</v>
      </c>
      <c r="G30" s="204" t="e">
        <f>NA()</f>
        <v>#N/A</v>
      </c>
      <c r="H30" s="204" t="e">
        <f>NA()</f>
        <v>#N/A</v>
      </c>
      <c r="I30" s="204" t="e">
        <f>NA()</f>
        <v>#N/A</v>
      </c>
      <c r="J30" s="204" t="e">
        <f>NA()</f>
        <v>#N/A</v>
      </c>
      <c r="K30" s="204" t="e">
        <f>NA()</f>
        <v>#N/A</v>
      </c>
      <c r="L30" s="204" t="e">
        <f>NA()</f>
        <v>#N/A</v>
      </c>
      <c r="M30" s="204" t="e">
        <f>NA()</f>
        <v>#N/A</v>
      </c>
      <c r="N30" s="204" t="e">
        <f>NA()</f>
        <v>#N/A</v>
      </c>
      <c r="O30" s="198"/>
      <c r="P30" s="308" t="e">
        <f t="shared" si="5"/>
        <v>#N/A</v>
      </c>
      <c r="Q30" s="204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388" customFormat="1" ht="12.75">
      <c r="A31" s="157"/>
      <c r="B31" s="157" t="s">
        <v>18</v>
      </c>
      <c r="C31" s="204" t="e">
        <f>NA()</f>
        <v>#N/A</v>
      </c>
      <c r="D31" s="204" t="e">
        <f>NA()</f>
        <v>#N/A</v>
      </c>
      <c r="E31" s="204" t="e">
        <f>NA()</f>
        <v>#N/A</v>
      </c>
      <c r="F31" s="204" t="e">
        <f>NA()</f>
        <v>#N/A</v>
      </c>
      <c r="G31" s="204" t="e">
        <f>NA()</f>
        <v>#N/A</v>
      </c>
      <c r="H31" s="204" t="e">
        <f>NA()</f>
        <v>#N/A</v>
      </c>
      <c r="I31" s="204" t="e">
        <f>NA()</f>
        <v>#N/A</v>
      </c>
      <c r="J31" s="204" t="e">
        <f>NA()</f>
        <v>#N/A</v>
      </c>
      <c r="K31" s="204" t="e">
        <f>NA()</f>
        <v>#N/A</v>
      </c>
      <c r="L31" s="204" t="e">
        <f>NA()</f>
        <v>#N/A</v>
      </c>
      <c r="M31" s="204" t="e">
        <f>NA()</f>
        <v>#N/A</v>
      </c>
      <c r="N31" s="204" t="e">
        <f>NA()</f>
        <v>#N/A</v>
      </c>
      <c r="O31" s="198"/>
      <c r="P31" s="308" t="e">
        <f t="shared" si="5"/>
        <v>#N/A</v>
      </c>
      <c r="Q31" s="204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</row>
    <row r="32" spans="1:35" s="388" customFormat="1" ht="12.75">
      <c r="A32" s="157"/>
      <c r="B32" s="157" t="s">
        <v>19</v>
      </c>
      <c r="C32" s="204" t="e">
        <f>NA()</f>
        <v>#N/A</v>
      </c>
      <c r="D32" s="204" t="e">
        <f>NA()</f>
        <v>#N/A</v>
      </c>
      <c r="E32" s="204" t="e">
        <f>NA()</f>
        <v>#N/A</v>
      </c>
      <c r="F32" s="204" t="e">
        <f>NA()</f>
        <v>#N/A</v>
      </c>
      <c r="G32" s="204" t="e">
        <f>NA()</f>
        <v>#N/A</v>
      </c>
      <c r="H32" s="204" t="e">
        <f>NA()</f>
        <v>#N/A</v>
      </c>
      <c r="I32" s="204" t="e">
        <f>NA()</f>
        <v>#N/A</v>
      </c>
      <c r="J32" s="204" t="e">
        <f>NA()</f>
        <v>#N/A</v>
      </c>
      <c r="K32" s="204" t="e">
        <f>NA()</f>
        <v>#N/A</v>
      </c>
      <c r="L32" s="204" t="e">
        <f>NA()</f>
        <v>#N/A</v>
      </c>
      <c r="M32" s="204" t="e">
        <f>NA()</f>
        <v>#N/A</v>
      </c>
      <c r="N32" s="204" t="e">
        <f>NA()</f>
        <v>#N/A</v>
      </c>
      <c r="O32" s="198"/>
      <c r="P32" s="308" t="e">
        <f t="shared" si="5"/>
        <v>#N/A</v>
      </c>
      <c r="Q32" s="15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</row>
    <row r="33" spans="1:35" s="388" customFormat="1" ht="12.75">
      <c r="A33" s="157"/>
      <c r="B33" s="157" t="s">
        <v>105</v>
      </c>
      <c r="C33" s="204" t="e">
        <f>NA()</f>
        <v>#N/A</v>
      </c>
      <c r="D33" s="204" t="e">
        <f>NA()</f>
        <v>#N/A</v>
      </c>
      <c r="E33" s="204" t="e">
        <f>NA()</f>
        <v>#N/A</v>
      </c>
      <c r="F33" s="204" t="e">
        <f>NA()</f>
        <v>#N/A</v>
      </c>
      <c r="G33" s="204" t="e">
        <f>NA()</f>
        <v>#N/A</v>
      </c>
      <c r="H33" s="204" t="e">
        <f>NA()</f>
        <v>#N/A</v>
      </c>
      <c r="I33" s="204" t="e">
        <f>NA()</f>
        <v>#N/A</v>
      </c>
      <c r="J33" s="204" t="e">
        <f>NA()</f>
        <v>#N/A</v>
      </c>
      <c r="K33" s="204" t="e">
        <f>NA()</f>
        <v>#N/A</v>
      </c>
      <c r="L33" s="204" t="e">
        <f>NA()</f>
        <v>#N/A</v>
      </c>
      <c r="M33" s="204" t="e">
        <f>NA()</f>
        <v>#N/A</v>
      </c>
      <c r="N33" s="204" t="e">
        <f>NA()</f>
        <v>#N/A</v>
      </c>
      <c r="O33" s="198"/>
      <c r="P33" s="308" t="e">
        <f t="shared" si="5"/>
        <v>#N/A</v>
      </c>
      <c r="Q33" s="204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</row>
    <row r="34" spans="1:35" s="388" customFormat="1" ht="12.75">
      <c r="A34" s="157"/>
      <c r="B34" s="157" t="s">
        <v>104</v>
      </c>
      <c r="C34" s="204" t="e">
        <f>NA()</f>
        <v>#N/A</v>
      </c>
      <c r="D34" s="204" t="e">
        <f>NA()</f>
        <v>#N/A</v>
      </c>
      <c r="E34" s="204" t="e">
        <f>NA()</f>
        <v>#N/A</v>
      </c>
      <c r="F34" s="204" t="e">
        <f>NA()</f>
        <v>#N/A</v>
      </c>
      <c r="G34" s="204" t="e">
        <f>NA()</f>
        <v>#N/A</v>
      </c>
      <c r="H34" s="204" t="e">
        <f>NA()</f>
        <v>#N/A</v>
      </c>
      <c r="I34" s="204" t="e">
        <f>NA()</f>
        <v>#N/A</v>
      </c>
      <c r="J34" s="204" t="e">
        <f>NA()</f>
        <v>#N/A</v>
      </c>
      <c r="K34" s="204" t="e">
        <f>NA()</f>
        <v>#N/A</v>
      </c>
      <c r="L34" s="204" t="e">
        <f>NA()</f>
        <v>#N/A</v>
      </c>
      <c r="M34" s="204" t="e">
        <f>NA()</f>
        <v>#N/A</v>
      </c>
      <c r="N34" s="204" t="e">
        <f>NA()</f>
        <v>#N/A</v>
      </c>
      <c r="O34" s="198"/>
      <c r="P34" s="308" t="e">
        <f t="shared" si="5"/>
        <v>#N/A</v>
      </c>
      <c r="Q34" s="204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</row>
    <row r="35" spans="1:35" s="388" customFormat="1" ht="12.75">
      <c r="A35" s="157"/>
      <c r="B35" s="157" t="s">
        <v>21</v>
      </c>
      <c r="C35" s="204" t="e">
        <f>NA()</f>
        <v>#N/A</v>
      </c>
      <c r="D35" s="204" t="e">
        <f>NA()</f>
        <v>#N/A</v>
      </c>
      <c r="E35" s="204" t="e">
        <f>NA()</f>
        <v>#N/A</v>
      </c>
      <c r="F35" s="204" t="e">
        <f>NA()</f>
        <v>#N/A</v>
      </c>
      <c r="G35" s="204" t="e">
        <f>NA()</f>
        <v>#N/A</v>
      </c>
      <c r="H35" s="204" t="e">
        <f>NA()</f>
        <v>#N/A</v>
      </c>
      <c r="I35" s="204" t="e">
        <f>NA()</f>
        <v>#N/A</v>
      </c>
      <c r="J35" s="204" t="e">
        <f>NA()</f>
        <v>#N/A</v>
      </c>
      <c r="K35" s="204" t="e">
        <f>NA()</f>
        <v>#N/A</v>
      </c>
      <c r="L35" s="204" t="e">
        <f>NA()</f>
        <v>#N/A</v>
      </c>
      <c r="M35" s="204" t="e">
        <f>NA()</f>
        <v>#N/A</v>
      </c>
      <c r="N35" s="204" t="e">
        <f>NA()</f>
        <v>#N/A</v>
      </c>
      <c r="O35" s="198"/>
      <c r="P35" s="308" t="e">
        <f t="shared" si="5"/>
        <v>#N/A</v>
      </c>
      <c r="Q35" s="15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</row>
    <row r="36" spans="1:35" s="388" customFormat="1" ht="12.75">
      <c r="A36" s="157"/>
      <c r="B36" s="157" t="s">
        <v>22</v>
      </c>
      <c r="C36" s="204" t="e">
        <f>NA()</f>
        <v>#N/A</v>
      </c>
      <c r="D36" s="204" t="e">
        <f>NA()</f>
        <v>#N/A</v>
      </c>
      <c r="E36" s="204" t="e">
        <f>NA()</f>
        <v>#N/A</v>
      </c>
      <c r="F36" s="204" t="e">
        <f>NA()</f>
        <v>#N/A</v>
      </c>
      <c r="G36" s="204" t="e">
        <f>NA()</f>
        <v>#N/A</v>
      </c>
      <c r="H36" s="204" t="e">
        <f>NA()</f>
        <v>#N/A</v>
      </c>
      <c r="I36" s="204" t="e">
        <f>NA()</f>
        <v>#N/A</v>
      </c>
      <c r="J36" s="204" t="e">
        <f>NA()</f>
        <v>#N/A</v>
      </c>
      <c r="K36" s="204" t="e">
        <f>NA()</f>
        <v>#N/A</v>
      </c>
      <c r="L36" s="204" t="e">
        <f>NA()</f>
        <v>#N/A</v>
      </c>
      <c r="M36" s="204" t="e">
        <f>NA()</f>
        <v>#N/A</v>
      </c>
      <c r="N36" s="204" t="e">
        <f>NA()</f>
        <v>#N/A</v>
      </c>
      <c r="O36" s="198"/>
      <c r="P36" s="308" t="e">
        <f t="shared" si="5"/>
        <v>#N/A</v>
      </c>
      <c r="Q36" s="15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</row>
    <row r="37" spans="1:35" s="388" customFormat="1" ht="12.75">
      <c r="A37" s="157"/>
      <c r="B37" s="157" t="s">
        <v>24</v>
      </c>
      <c r="C37" s="204" t="e">
        <f>NA()</f>
        <v>#N/A</v>
      </c>
      <c r="D37" s="204" t="e">
        <f>NA()</f>
        <v>#N/A</v>
      </c>
      <c r="E37" s="204" t="e">
        <f>NA()</f>
        <v>#N/A</v>
      </c>
      <c r="F37" s="204" t="e">
        <f>NA()</f>
        <v>#N/A</v>
      </c>
      <c r="G37" s="204" t="e">
        <f>NA()</f>
        <v>#N/A</v>
      </c>
      <c r="H37" s="204" t="e">
        <f>NA()</f>
        <v>#N/A</v>
      </c>
      <c r="I37" s="204" t="e">
        <f>NA()</f>
        <v>#N/A</v>
      </c>
      <c r="J37" s="204" t="e">
        <f>NA()</f>
        <v>#N/A</v>
      </c>
      <c r="K37" s="204" t="e">
        <f>NA()</f>
        <v>#N/A</v>
      </c>
      <c r="L37" s="204" t="e">
        <f>NA()</f>
        <v>#N/A</v>
      </c>
      <c r="M37" s="204" t="e">
        <f>NA()</f>
        <v>#N/A</v>
      </c>
      <c r="N37" s="204" t="e">
        <f>NA()</f>
        <v>#N/A</v>
      </c>
      <c r="O37" s="198"/>
      <c r="P37" s="308" t="e">
        <f t="shared" si="5"/>
        <v>#N/A</v>
      </c>
      <c r="Q37" s="204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3:14" ht="12.75">
      <c r="M38" s="204"/>
      <c r="N38" s="204"/>
    </row>
    <row r="39" spans="1:35" s="388" customFormat="1" ht="12.75">
      <c r="A39" s="157"/>
      <c r="B39" s="157" t="s">
        <v>25</v>
      </c>
      <c r="C39" s="204" t="e">
        <f>NA()</f>
        <v>#N/A</v>
      </c>
      <c r="D39" s="204" t="e">
        <f>NA()</f>
        <v>#N/A</v>
      </c>
      <c r="E39" s="204" t="e">
        <f>NA()</f>
        <v>#N/A</v>
      </c>
      <c r="F39" s="204" t="e">
        <f>NA()</f>
        <v>#N/A</v>
      </c>
      <c r="G39" s="204" t="e">
        <f>NA()</f>
        <v>#N/A</v>
      </c>
      <c r="H39" s="204" t="e">
        <f>NA()</f>
        <v>#N/A</v>
      </c>
      <c r="I39" s="204" t="e">
        <f>NA()</f>
        <v>#N/A</v>
      </c>
      <c r="J39" s="204" t="e">
        <f>NA()</f>
        <v>#N/A</v>
      </c>
      <c r="K39" s="204" t="e">
        <f>NA()</f>
        <v>#N/A</v>
      </c>
      <c r="L39" s="204" t="e">
        <f>NA()</f>
        <v>#N/A</v>
      </c>
      <c r="M39" s="204" t="e">
        <f>NA()</f>
        <v>#N/A</v>
      </c>
      <c r="N39" s="204" t="e">
        <f>NA()</f>
        <v>#N/A</v>
      </c>
      <c r="O39" s="198"/>
      <c r="P39" s="308" t="e">
        <f>+O39/$O$49</f>
        <v>#N/A</v>
      </c>
      <c r="Q39" s="204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s="388" customFormat="1" ht="12.75">
      <c r="A40" s="157"/>
      <c r="B40" s="346" t="s">
        <v>26</v>
      </c>
      <c r="C40" s="198" t="e">
        <f aca="true" t="shared" si="6" ref="C40:N40">SUM(C29:C39)</f>
        <v>#N/A</v>
      </c>
      <c r="D40" s="198" t="e">
        <f t="shared" si="6"/>
        <v>#N/A</v>
      </c>
      <c r="E40" s="198" t="e">
        <f t="shared" si="6"/>
        <v>#N/A</v>
      </c>
      <c r="F40" s="198" t="e">
        <f t="shared" si="6"/>
        <v>#N/A</v>
      </c>
      <c r="G40" s="198" t="e">
        <f t="shared" si="6"/>
        <v>#N/A</v>
      </c>
      <c r="H40" s="198" t="e">
        <f t="shared" si="6"/>
        <v>#N/A</v>
      </c>
      <c r="I40" s="198" t="e">
        <f t="shared" si="6"/>
        <v>#N/A</v>
      </c>
      <c r="J40" s="198" t="e">
        <f t="shared" si="6"/>
        <v>#N/A</v>
      </c>
      <c r="K40" s="198" t="e">
        <f t="shared" si="6"/>
        <v>#N/A</v>
      </c>
      <c r="L40" s="198" t="e">
        <f t="shared" si="6"/>
        <v>#N/A</v>
      </c>
      <c r="M40" s="198" t="e">
        <f t="shared" si="6"/>
        <v>#N/A</v>
      </c>
      <c r="N40" s="198" t="e">
        <f t="shared" si="6"/>
        <v>#N/A</v>
      </c>
      <c r="O40" s="198">
        <f>SUM(O30:O39)</f>
        <v>0</v>
      </c>
      <c r="P40" s="308" t="e">
        <f>+O40/$O$49</f>
        <v>#N/A</v>
      </c>
      <c r="Q40" s="204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</row>
    <row r="41" spans="1:35" s="388" customFormat="1" ht="12.75">
      <c r="A41" s="157"/>
      <c r="B41" s="346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308"/>
      <c r="Q41" s="204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 s="388" customFormat="1" ht="12.75">
      <c r="A42" s="157"/>
      <c r="B42" s="346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308"/>
      <c r="Q42" s="204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 s="388" customFormat="1" ht="12.75">
      <c r="A43" s="157"/>
      <c r="B43" s="157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  <c r="P43" s="320"/>
      <c r="Q43" s="204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</row>
    <row r="44" spans="1:35" s="388" customFormat="1" ht="12.75">
      <c r="A44" s="157"/>
      <c r="B44" s="157" t="s">
        <v>27</v>
      </c>
      <c r="C44" s="204" t="e">
        <f>NA()</f>
        <v>#N/A</v>
      </c>
      <c r="D44" s="204" t="e">
        <f>NA()</f>
        <v>#N/A</v>
      </c>
      <c r="E44" s="204" t="e">
        <f>NA()</f>
        <v>#N/A</v>
      </c>
      <c r="F44" s="204" t="e">
        <f>NA()</f>
        <v>#N/A</v>
      </c>
      <c r="G44" s="204" t="e">
        <f>NA()</f>
        <v>#N/A</v>
      </c>
      <c r="H44" s="204" t="e">
        <f>NA()</f>
        <v>#N/A</v>
      </c>
      <c r="I44" s="204" t="e">
        <f>NA()</f>
        <v>#N/A</v>
      </c>
      <c r="J44" s="204" t="e">
        <f>NA()</f>
        <v>#N/A</v>
      </c>
      <c r="K44" s="204" t="e">
        <f>NA()</f>
        <v>#N/A</v>
      </c>
      <c r="L44" s="204" t="e">
        <f>NA()</f>
        <v>#N/A</v>
      </c>
      <c r="M44" s="204" t="e">
        <f>NA()</f>
        <v>#N/A</v>
      </c>
      <c r="N44" s="204" t="e">
        <f>NA()</f>
        <v>#N/A</v>
      </c>
      <c r="O44" s="198" t="e">
        <f>SUM(C44:N44)</f>
        <v>#N/A</v>
      </c>
      <c r="P44" s="308" t="e">
        <f>+O44/$O$49</f>
        <v>#N/A</v>
      </c>
      <c r="Q44" s="204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 s="388" customFormat="1" ht="12.75">
      <c r="A45" s="157"/>
      <c r="B45" s="157" t="s">
        <v>57</v>
      </c>
      <c r="C45" s="204" t="e">
        <f>NA()</f>
        <v>#N/A</v>
      </c>
      <c r="D45" s="204" t="e">
        <f>NA()</f>
        <v>#N/A</v>
      </c>
      <c r="E45" s="204" t="e">
        <f>NA()</f>
        <v>#N/A</v>
      </c>
      <c r="F45" s="204" t="e">
        <f>NA()</f>
        <v>#N/A</v>
      </c>
      <c r="G45" s="204" t="e">
        <f>NA()</f>
        <v>#N/A</v>
      </c>
      <c r="H45" s="204" t="e">
        <f>NA()</f>
        <v>#N/A</v>
      </c>
      <c r="I45" s="204" t="e">
        <f>NA()</f>
        <v>#N/A</v>
      </c>
      <c r="J45" s="204" t="e">
        <f>NA()</f>
        <v>#N/A</v>
      </c>
      <c r="K45" s="204" t="e">
        <f>NA()</f>
        <v>#N/A</v>
      </c>
      <c r="L45" s="204" t="e">
        <f>NA()</f>
        <v>#N/A</v>
      </c>
      <c r="M45" s="204" t="e">
        <f>NA()</f>
        <v>#N/A</v>
      </c>
      <c r="N45" s="204" t="e">
        <f>NA()</f>
        <v>#N/A</v>
      </c>
      <c r="O45" s="198" t="e">
        <f>SUM(C45:N45)</f>
        <v>#N/A</v>
      </c>
      <c r="P45" s="308" t="e">
        <f>+O45/$O$49</f>
        <v>#N/A</v>
      </c>
      <c r="Q45" s="204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</row>
    <row r="46" spans="1:35" s="388" customFormat="1" ht="12.75">
      <c r="A46" s="157"/>
      <c r="B46" s="157" t="s">
        <v>106</v>
      </c>
      <c r="C46" s="204" t="e">
        <f>NA()</f>
        <v>#N/A</v>
      </c>
      <c r="D46" s="204" t="e">
        <f>NA()</f>
        <v>#N/A</v>
      </c>
      <c r="E46" s="204" t="e">
        <f>NA()</f>
        <v>#N/A</v>
      </c>
      <c r="F46" s="204" t="e">
        <f>NA()</f>
        <v>#N/A</v>
      </c>
      <c r="G46" s="204" t="e">
        <f>NA()</f>
        <v>#N/A</v>
      </c>
      <c r="H46" s="204" t="e">
        <f>NA()</f>
        <v>#N/A</v>
      </c>
      <c r="I46" s="204" t="e">
        <f>NA()</f>
        <v>#N/A</v>
      </c>
      <c r="J46" s="204" t="e">
        <f>NA()</f>
        <v>#N/A</v>
      </c>
      <c r="K46" s="204" t="e">
        <f>NA()</f>
        <v>#N/A</v>
      </c>
      <c r="L46" s="204" t="e">
        <f>NA()</f>
        <v>#N/A</v>
      </c>
      <c r="M46" s="204" t="e">
        <f>NA()</f>
        <v>#N/A</v>
      </c>
      <c r="N46" s="204" t="e">
        <f>NA()</f>
        <v>#N/A</v>
      </c>
      <c r="O46" s="198" t="e">
        <f>SUM(C46:N46)</f>
        <v>#N/A</v>
      </c>
      <c r="P46" s="308" t="e">
        <f>+O46/$O$49</f>
        <v>#N/A</v>
      </c>
      <c r="Q46" s="15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 s="388" customFormat="1" ht="12.75">
      <c r="A47" s="157"/>
      <c r="B47" s="157" t="s">
        <v>107</v>
      </c>
      <c r="C47" s="204" t="e">
        <f>NA()</f>
        <v>#N/A</v>
      </c>
      <c r="D47" s="204" t="e">
        <f>NA()</f>
        <v>#N/A</v>
      </c>
      <c r="E47" s="204" t="e">
        <f>NA()</f>
        <v>#N/A</v>
      </c>
      <c r="F47" s="204" t="e">
        <f>NA()</f>
        <v>#N/A</v>
      </c>
      <c r="G47" s="204" t="e">
        <f>NA()</f>
        <v>#N/A</v>
      </c>
      <c r="H47" s="204" t="e">
        <f>NA()</f>
        <v>#N/A</v>
      </c>
      <c r="I47" s="204" t="e">
        <f>NA()</f>
        <v>#N/A</v>
      </c>
      <c r="J47" s="204" t="e">
        <f>NA()</f>
        <v>#N/A</v>
      </c>
      <c r="K47" s="204" t="e">
        <f>NA()</f>
        <v>#N/A</v>
      </c>
      <c r="L47" s="204" t="e">
        <f>NA()</f>
        <v>#N/A</v>
      </c>
      <c r="M47" s="204" t="e">
        <f>NA()</f>
        <v>#N/A</v>
      </c>
      <c r="N47" s="204" t="e">
        <f>NA()</f>
        <v>#N/A</v>
      </c>
      <c r="O47" s="198" t="e">
        <f>SUM(C47:N47)</f>
        <v>#N/A</v>
      </c>
      <c r="P47" s="308" t="e">
        <f>+O47/$O$49</f>
        <v>#N/A</v>
      </c>
      <c r="Q47" s="15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 s="388" customFormat="1" ht="12.7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320"/>
      <c r="Q48" s="204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</row>
    <row r="49" spans="1:35" s="388" customFormat="1" ht="12.75">
      <c r="A49" s="157"/>
      <c r="B49" s="196" t="s">
        <v>28</v>
      </c>
      <c r="C49" s="321" t="e">
        <f aca="true" t="shared" si="7" ref="C49:O49">+C40+C44+C45+C46+C47</f>
        <v>#N/A</v>
      </c>
      <c r="D49" s="321" t="e">
        <f t="shared" si="7"/>
        <v>#N/A</v>
      </c>
      <c r="E49" s="321" t="e">
        <f t="shared" si="7"/>
        <v>#N/A</v>
      </c>
      <c r="F49" s="321" t="e">
        <f t="shared" si="7"/>
        <v>#N/A</v>
      </c>
      <c r="G49" s="321" t="e">
        <f t="shared" si="7"/>
        <v>#N/A</v>
      </c>
      <c r="H49" s="321" t="e">
        <f t="shared" si="7"/>
        <v>#N/A</v>
      </c>
      <c r="I49" s="321" t="e">
        <f t="shared" si="7"/>
        <v>#N/A</v>
      </c>
      <c r="J49" s="321" t="e">
        <f t="shared" si="7"/>
        <v>#N/A</v>
      </c>
      <c r="K49" s="321" t="e">
        <f t="shared" si="7"/>
        <v>#N/A</v>
      </c>
      <c r="L49" s="321" t="e">
        <f t="shared" si="7"/>
        <v>#N/A</v>
      </c>
      <c r="M49" s="321" t="e">
        <f t="shared" si="7"/>
        <v>#N/A</v>
      </c>
      <c r="N49" s="321" t="e">
        <f t="shared" si="7"/>
        <v>#N/A</v>
      </c>
      <c r="O49" s="321" t="e">
        <f t="shared" si="7"/>
        <v>#N/A</v>
      </c>
      <c r="P49" s="322" t="e">
        <f>+P40+P44+P45</f>
        <v>#N/A</v>
      </c>
      <c r="Q49" s="204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 s="388" customFormat="1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</row>
    <row r="51" spans="1:35" s="388" customFormat="1" ht="12.75">
      <c r="A51" s="157"/>
      <c r="B51" s="201">
        <f ca="1">NOW()</f>
        <v>40948.65149502315</v>
      </c>
      <c r="C51" s="202" t="s">
        <v>58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 s="388" customFormat="1" ht="12.75">
      <c r="A52" s="157"/>
      <c r="B52" s="201"/>
      <c r="C52" s="202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 s="388" customFormat="1" ht="12.75">
      <c r="A53" s="157"/>
      <c r="B53" s="201"/>
      <c r="C53" s="202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 ht="12.7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.7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.7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.75">
      <c r="A65" s="23" t="s">
        <v>46</v>
      </c>
      <c r="B65" s="23"/>
      <c r="C65" s="286" t="s">
        <v>47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3"/>
      <c r="P65" s="300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.75">
      <c r="A66" s="23"/>
      <c r="B66" s="23"/>
      <c r="C66" s="287" t="s">
        <v>2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thickBot="1">
      <c r="A67" s="23"/>
      <c r="B67" s="289"/>
      <c r="C67" s="290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>
        <v>1998</v>
      </c>
      <c r="P67" s="289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thickBot="1" thickTop="1">
      <c r="A68" s="23"/>
      <c r="B68" s="293"/>
      <c r="C68" s="294" t="s">
        <v>3</v>
      </c>
      <c r="D68" s="295" t="s">
        <v>4</v>
      </c>
      <c r="E68" s="295" t="s">
        <v>5</v>
      </c>
      <c r="F68" s="295" t="s">
        <v>6</v>
      </c>
      <c r="G68" s="295" t="s">
        <v>7</v>
      </c>
      <c r="H68" s="295" t="s">
        <v>8</v>
      </c>
      <c r="I68" s="295" t="s">
        <v>9</v>
      </c>
      <c r="J68" s="295" t="s">
        <v>10</v>
      </c>
      <c r="K68" s="296" t="s">
        <v>11</v>
      </c>
      <c r="L68" s="295" t="s">
        <v>12</v>
      </c>
      <c r="M68" s="295" t="s">
        <v>13</v>
      </c>
      <c r="N68" s="295" t="s">
        <v>14</v>
      </c>
      <c r="O68" s="301" t="s">
        <v>15</v>
      </c>
      <c r="P68" s="302" t="s">
        <v>16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3.5" thickTop="1">
      <c r="A69" s="23"/>
      <c r="B69" s="392"/>
      <c r="C69" s="393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3"/>
      <c r="P69" s="436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394" t="s">
        <v>42</v>
      </c>
      <c r="C70" s="437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97"/>
      <c r="P70" s="439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398" t="s">
        <v>33</v>
      </c>
      <c r="C71" s="440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397">
        <f>SUM(C71:N71)</f>
        <v>0</v>
      </c>
      <c r="P71" s="439" t="e">
        <f>+O71/$O$95</f>
        <v>#DIV/0!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2.75">
      <c r="A72" s="23"/>
      <c r="B72" s="394" t="s">
        <v>34</v>
      </c>
      <c r="C72" s="440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397">
        <f>SUM(C72:N72)</f>
        <v>0</v>
      </c>
      <c r="P72" s="439" t="e">
        <f>+O72/$O$96</f>
        <v>#DIV/0!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2.75">
      <c r="A73" s="23"/>
      <c r="B73" s="398"/>
      <c r="C73" s="440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397"/>
      <c r="P73" s="439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2.75">
      <c r="A74" s="23"/>
      <c r="B74" s="398" t="s">
        <v>43</v>
      </c>
      <c r="C74" s="440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397"/>
      <c r="P74" s="439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2.75">
      <c r="A75" s="23"/>
      <c r="B75" s="398" t="s">
        <v>33</v>
      </c>
      <c r="C75" s="440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397">
        <f>SUM(C75:N75)</f>
        <v>0</v>
      </c>
      <c r="P75" s="439" t="e">
        <f>+O75/$O$95</f>
        <v>#DIV/0!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2.75">
      <c r="A76" s="23"/>
      <c r="B76" s="394" t="s">
        <v>34</v>
      </c>
      <c r="C76" s="440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397">
        <f>SUM(C76:N76)</f>
        <v>0</v>
      </c>
      <c r="P76" s="439" t="e">
        <f>+O76/$O$96</f>
        <v>#DIV/0!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2.75">
      <c r="A77" s="23"/>
      <c r="B77" s="398"/>
      <c r="C77" s="440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397"/>
      <c r="P77" s="439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2.75">
      <c r="A78" s="23"/>
      <c r="B78" s="394" t="s">
        <v>32</v>
      </c>
      <c r="C78" s="440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397"/>
      <c r="P78" s="4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2.75">
      <c r="A79" s="23"/>
      <c r="B79" s="398" t="s">
        <v>33</v>
      </c>
      <c r="C79" s="440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397">
        <f>SUM(C79:N79)</f>
        <v>0</v>
      </c>
      <c r="P79" s="439" t="e">
        <f>+O79/$O$95</f>
        <v>#DIV/0!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2.75">
      <c r="A80" s="23"/>
      <c r="B80" s="394" t="s">
        <v>34</v>
      </c>
      <c r="C80" s="440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97">
        <f>SUM(C80:N80)</f>
        <v>0</v>
      </c>
      <c r="P80" s="439" t="e">
        <f>+O80/$O$96</f>
        <v>#DIV/0!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2.75">
      <c r="A81" s="23"/>
      <c r="B81" s="398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397"/>
      <c r="P81" s="439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2.75">
      <c r="A82" s="23"/>
      <c r="B82" s="394" t="s">
        <v>44</v>
      </c>
      <c r="C82" s="440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397"/>
      <c r="P82" s="4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2.75">
      <c r="A83" s="23"/>
      <c r="B83" s="398" t="s">
        <v>33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397">
        <f>SUM(C83:N83)</f>
        <v>0</v>
      </c>
      <c r="P83" s="439" t="e">
        <f>+O83/$O$95</f>
        <v>#DIV/0!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2.75">
      <c r="A84" s="23"/>
      <c r="B84" s="394" t="s">
        <v>34</v>
      </c>
      <c r="C84" s="440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397">
        <f>SUM(C84:N84)</f>
        <v>0</v>
      </c>
      <c r="P84" s="439" t="e">
        <f>+O84/$O$96</f>
        <v>#DIV/0!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2.75">
      <c r="A85" s="23"/>
      <c r="B85" s="398"/>
      <c r="C85" s="440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397"/>
      <c r="P85" s="439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2.75">
      <c r="A86" s="23"/>
      <c r="B86" s="400" t="s">
        <v>28</v>
      </c>
      <c r="C86" s="440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97"/>
      <c r="P86" s="43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2.75">
      <c r="A87" s="23"/>
      <c r="B87" s="402" t="s">
        <v>33</v>
      </c>
      <c r="C87" s="414">
        <f aca="true" t="shared" si="8" ref="C87:N88">+C71+C75+C79+C83</f>
        <v>0</v>
      </c>
      <c r="D87" s="442">
        <f t="shared" si="8"/>
        <v>0</v>
      </c>
      <c r="E87" s="442">
        <f t="shared" si="8"/>
        <v>0</v>
      </c>
      <c r="F87" s="442">
        <f t="shared" si="8"/>
        <v>0</v>
      </c>
      <c r="G87" s="442">
        <f t="shared" si="8"/>
        <v>0</v>
      </c>
      <c r="H87" s="442">
        <f t="shared" si="8"/>
        <v>0</v>
      </c>
      <c r="I87" s="442">
        <f t="shared" si="8"/>
        <v>0</v>
      </c>
      <c r="J87" s="442">
        <f t="shared" si="8"/>
        <v>0</v>
      </c>
      <c r="K87" s="442">
        <f t="shared" si="8"/>
        <v>0</v>
      </c>
      <c r="L87" s="442">
        <f t="shared" si="8"/>
        <v>0</v>
      </c>
      <c r="M87" s="442">
        <f t="shared" si="8"/>
        <v>0</v>
      </c>
      <c r="N87" s="442">
        <f t="shared" si="8"/>
        <v>0</v>
      </c>
      <c r="O87" s="405">
        <f>SUM(C87:N87)</f>
        <v>0</v>
      </c>
      <c r="P87" s="443" t="e">
        <f>+P71+P75+P79+P83</f>
        <v>#DIV/0!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2.75">
      <c r="A88" s="23"/>
      <c r="B88" s="406" t="s">
        <v>34</v>
      </c>
      <c r="C88" s="414">
        <f t="shared" si="8"/>
        <v>0</v>
      </c>
      <c r="D88" s="442">
        <f t="shared" si="8"/>
        <v>0</v>
      </c>
      <c r="E88" s="442">
        <f t="shared" si="8"/>
        <v>0</v>
      </c>
      <c r="F88" s="442">
        <f t="shared" si="8"/>
        <v>0</v>
      </c>
      <c r="G88" s="442">
        <f t="shared" si="8"/>
        <v>0</v>
      </c>
      <c r="H88" s="442">
        <f t="shared" si="8"/>
        <v>0</v>
      </c>
      <c r="I88" s="442">
        <f t="shared" si="8"/>
        <v>0</v>
      </c>
      <c r="J88" s="442">
        <f t="shared" si="8"/>
        <v>0</v>
      </c>
      <c r="K88" s="442">
        <f t="shared" si="8"/>
        <v>0</v>
      </c>
      <c r="L88" s="442">
        <f t="shared" si="8"/>
        <v>0</v>
      </c>
      <c r="M88" s="442">
        <f t="shared" si="8"/>
        <v>0</v>
      </c>
      <c r="N88" s="442">
        <f t="shared" si="8"/>
        <v>0</v>
      </c>
      <c r="O88" s="405">
        <f>SUM(C88:N88)</f>
        <v>0</v>
      </c>
      <c r="P88" s="443" t="e">
        <f>+P72+P76+P80+P84</f>
        <v>#DIV/0!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2.75">
      <c r="A89" s="23"/>
      <c r="B89" s="408"/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10"/>
      <c r="P89" s="446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2.75">
      <c r="A90" s="23"/>
      <c r="B90" s="411" t="s">
        <v>27</v>
      </c>
      <c r="C90" s="440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97"/>
      <c r="P90" s="4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2.75">
      <c r="A91" s="23"/>
      <c r="B91" s="398" t="s">
        <v>33</v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97">
        <f>SUM(C91:N91)</f>
        <v>0</v>
      </c>
      <c r="P91" s="439" t="e">
        <f>+O91/$O$95</f>
        <v>#DIV/0!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2.75">
      <c r="A92" s="23"/>
      <c r="B92" s="394" t="s">
        <v>34</v>
      </c>
      <c r="C92" s="440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97">
        <f>SUM(C92:N92)</f>
        <v>0</v>
      </c>
      <c r="P92" s="439" t="e">
        <f>+O92/$O$96</f>
        <v>#DIV/0!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2.75">
      <c r="A93" s="23"/>
      <c r="B93" s="394"/>
      <c r="C93" s="440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97"/>
      <c r="P93" s="439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2.75">
      <c r="A94" s="23"/>
      <c r="B94" s="406" t="s">
        <v>45</v>
      </c>
      <c r="C94" s="440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97"/>
      <c r="P94" s="439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2.75">
      <c r="A95" s="23"/>
      <c r="B95" s="402" t="s">
        <v>33</v>
      </c>
      <c r="C95" s="414">
        <f aca="true" t="shared" si="9" ref="C95:P96">+C87+C91</f>
        <v>0</v>
      </c>
      <c r="D95" s="442">
        <f t="shared" si="9"/>
        <v>0</v>
      </c>
      <c r="E95" s="442">
        <f t="shared" si="9"/>
        <v>0</v>
      </c>
      <c r="F95" s="442">
        <f t="shared" si="9"/>
        <v>0</v>
      </c>
      <c r="G95" s="442">
        <f t="shared" si="9"/>
        <v>0</v>
      </c>
      <c r="H95" s="442">
        <f t="shared" si="9"/>
        <v>0</v>
      </c>
      <c r="I95" s="442">
        <f t="shared" si="9"/>
        <v>0</v>
      </c>
      <c r="J95" s="442">
        <f t="shared" si="9"/>
        <v>0</v>
      </c>
      <c r="K95" s="442">
        <f t="shared" si="9"/>
        <v>0</v>
      </c>
      <c r="L95" s="442">
        <f t="shared" si="9"/>
        <v>0</v>
      </c>
      <c r="M95" s="442">
        <f t="shared" si="9"/>
        <v>0</v>
      </c>
      <c r="N95" s="442">
        <f t="shared" si="9"/>
        <v>0</v>
      </c>
      <c r="O95" s="414">
        <f t="shared" si="9"/>
        <v>0</v>
      </c>
      <c r="P95" s="443" t="e">
        <f t="shared" si="9"/>
        <v>#DIV/0!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2.75">
      <c r="A96" s="23"/>
      <c r="B96" s="406" t="s">
        <v>34</v>
      </c>
      <c r="C96" s="414">
        <f t="shared" si="9"/>
        <v>0</v>
      </c>
      <c r="D96" s="442">
        <f t="shared" si="9"/>
        <v>0</v>
      </c>
      <c r="E96" s="442">
        <f t="shared" si="9"/>
        <v>0</v>
      </c>
      <c r="F96" s="442">
        <f t="shared" si="9"/>
        <v>0</v>
      </c>
      <c r="G96" s="442">
        <f t="shared" si="9"/>
        <v>0</v>
      </c>
      <c r="H96" s="442">
        <f t="shared" si="9"/>
        <v>0</v>
      </c>
      <c r="I96" s="442">
        <f t="shared" si="9"/>
        <v>0</v>
      </c>
      <c r="J96" s="442">
        <f t="shared" si="9"/>
        <v>0</v>
      </c>
      <c r="K96" s="442">
        <f t="shared" si="9"/>
        <v>0</v>
      </c>
      <c r="L96" s="442">
        <f t="shared" si="9"/>
        <v>0</v>
      </c>
      <c r="M96" s="442">
        <f t="shared" si="9"/>
        <v>0</v>
      </c>
      <c r="N96" s="442">
        <f t="shared" si="9"/>
        <v>0</v>
      </c>
      <c r="O96" s="414">
        <f t="shared" si="9"/>
        <v>0</v>
      </c>
      <c r="P96" s="443" t="e">
        <f t="shared" si="9"/>
        <v>#DIV/0!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3.5" thickBot="1">
      <c r="A97" s="23"/>
      <c r="B97" s="2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16"/>
      <c r="P97" s="44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3.5" thickTop="1">
      <c r="A98" s="23"/>
      <c r="B98" s="1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1" t="s">
        <v>30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1">
      <selection activeCell="B1" sqref="B1"/>
    </sheetView>
  </sheetViews>
  <sheetFormatPr defaultColWidth="11.5546875" defaultRowHeight="15"/>
  <cols>
    <col min="1" max="1" width="0.9921875" style="387" customWidth="1"/>
    <col min="2" max="2" width="13.99609375" style="387" customWidth="1"/>
    <col min="3" max="3" width="6.99609375" style="387" customWidth="1"/>
    <col min="4" max="6" width="6.88671875" style="387" bestFit="1" customWidth="1"/>
    <col min="7" max="7" width="7.6640625" style="387" bestFit="1" customWidth="1"/>
    <col min="8" max="8" width="7.77734375" style="387" customWidth="1"/>
    <col min="9" max="9" width="7.6640625" style="387" bestFit="1" customWidth="1"/>
    <col min="10" max="10" width="7.6640625" style="387" customWidth="1"/>
    <col min="11" max="11" width="8.6640625" style="387" customWidth="1"/>
    <col min="12" max="12" width="7.6640625" style="387" customWidth="1"/>
    <col min="13" max="13" width="9.10546875" style="387" customWidth="1"/>
    <col min="14" max="14" width="10.21484375" style="387" customWidth="1"/>
    <col min="15" max="15" width="8.6640625" style="387" customWidth="1"/>
    <col min="16" max="16" width="8.88671875" style="387" customWidth="1"/>
    <col min="17" max="16384" width="11.5546875" style="387" customWidth="1"/>
  </cols>
  <sheetData>
    <row r="1" spans="1:35" ht="12.75">
      <c r="A1" s="123"/>
      <c r="B1" s="23" t="s">
        <v>200</v>
      </c>
      <c r="C1" s="124" t="s">
        <v>201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23"/>
      <c r="S3" s="23"/>
      <c r="T3" s="4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4.2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23"/>
      <c r="S4" s="23"/>
      <c r="T4" s="425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97"/>
      <c r="S5" s="297"/>
      <c r="T5" s="297"/>
      <c r="U5" s="297"/>
      <c r="V5" s="426"/>
      <c r="W5" s="297"/>
      <c r="X5" s="297"/>
      <c r="Y5" s="297"/>
      <c r="Z5" s="297"/>
      <c r="AA5" s="297"/>
      <c r="AB5" s="426"/>
      <c r="AC5" s="297"/>
      <c r="AD5" s="297"/>
      <c r="AE5" s="297"/>
      <c r="AF5" s="297"/>
      <c r="AG5" s="297"/>
      <c r="AH5" s="297"/>
      <c r="AI5" s="297"/>
    </row>
    <row r="6" spans="1:35" s="388" customFormat="1" ht="12.75">
      <c r="A6" s="157"/>
      <c r="B6" s="157" t="s">
        <v>17</v>
      </c>
      <c r="C6" s="204">
        <v>224126</v>
      </c>
      <c r="D6" s="204">
        <v>206098</v>
      </c>
      <c r="E6" s="204">
        <v>215739</v>
      </c>
      <c r="F6" s="204">
        <v>190670</v>
      </c>
      <c r="G6" s="204">
        <v>207170</v>
      </c>
      <c r="H6" s="204">
        <v>218340</v>
      </c>
      <c r="I6" s="204">
        <v>218340</v>
      </c>
      <c r="J6" s="204">
        <v>150896</v>
      </c>
      <c r="K6" s="204">
        <v>150447</v>
      </c>
      <c r="L6" s="204">
        <v>158937</v>
      </c>
      <c r="M6" s="204" t="e">
        <f>NA()</f>
        <v>#N/A</v>
      </c>
      <c r="N6" s="204" t="e">
        <f>NA()</f>
        <v>#N/A</v>
      </c>
      <c r="O6" s="198" t="e">
        <f aca="true" t="shared" si="0" ref="O6:O14">SUM(C6:N6)</f>
        <v>#N/A</v>
      </c>
      <c r="P6" s="308" t="e">
        <f aca="true" t="shared" si="1" ref="P6:P15">+O6/$O$19</f>
        <v>#N/A</v>
      </c>
      <c r="Q6" s="204"/>
      <c r="R6" s="297"/>
      <c r="S6" s="297"/>
      <c r="T6" s="328"/>
      <c r="U6" s="338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s="388" customFormat="1" ht="12.75">
      <c r="A7" s="157"/>
      <c r="B7" s="157" t="s">
        <v>18</v>
      </c>
      <c r="C7" s="204">
        <v>197026</v>
      </c>
      <c r="D7" s="204">
        <v>191881</v>
      </c>
      <c r="E7" s="204">
        <v>184108</v>
      </c>
      <c r="F7" s="204">
        <v>185223</v>
      </c>
      <c r="G7" s="204">
        <v>225393</v>
      </c>
      <c r="H7" s="204">
        <v>213161.8</v>
      </c>
      <c r="I7" s="204">
        <v>140888</v>
      </c>
      <c r="J7" s="204">
        <v>134907</v>
      </c>
      <c r="K7" s="204">
        <v>152442</v>
      </c>
      <c r="L7" s="204">
        <v>181823</v>
      </c>
      <c r="M7" s="204" t="e">
        <f>NA()</f>
        <v>#N/A</v>
      </c>
      <c r="N7" s="204" t="e">
        <f>NA()</f>
        <v>#N/A</v>
      </c>
      <c r="O7" s="198" t="e">
        <f t="shared" si="0"/>
        <v>#N/A</v>
      </c>
      <c r="P7" s="308" t="e">
        <f t="shared" si="1"/>
        <v>#N/A</v>
      </c>
      <c r="Q7" s="204"/>
      <c r="R7" s="297"/>
      <c r="S7" s="297"/>
      <c r="T7" s="328"/>
      <c r="U7" s="338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</row>
    <row r="8" spans="1:35" s="388" customFormat="1" ht="12.75">
      <c r="A8" s="157"/>
      <c r="B8" s="157" t="s">
        <v>19</v>
      </c>
      <c r="C8" s="204">
        <v>183867</v>
      </c>
      <c r="D8" s="204">
        <v>162217</v>
      </c>
      <c r="E8" s="204">
        <v>154940</v>
      </c>
      <c r="F8" s="204">
        <v>162410</v>
      </c>
      <c r="G8" s="204">
        <v>174987</v>
      </c>
      <c r="H8" s="204">
        <v>189003</v>
      </c>
      <c r="I8" s="204">
        <v>153909</v>
      </c>
      <c r="J8" s="204">
        <v>134998</v>
      </c>
      <c r="K8" s="204">
        <v>150296</v>
      </c>
      <c r="L8" s="204">
        <v>152596</v>
      </c>
      <c r="M8" s="204" t="e">
        <f>NA()</f>
        <v>#N/A</v>
      </c>
      <c r="N8" s="204" t="e">
        <f>NA()</f>
        <v>#N/A</v>
      </c>
      <c r="O8" s="198" t="e">
        <f t="shared" si="0"/>
        <v>#N/A</v>
      </c>
      <c r="P8" s="308" t="e">
        <f t="shared" si="1"/>
        <v>#N/A</v>
      </c>
      <c r="Q8" s="204"/>
      <c r="R8" s="297"/>
      <c r="S8" s="297"/>
      <c r="T8" s="328"/>
      <c r="U8" s="338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s="388" customFormat="1" ht="12.75">
      <c r="A9" s="157"/>
      <c r="B9" s="157" t="s">
        <v>20</v>
      </c>
      <c r="C9" s="204">
        <v>212990</v>
      </c>
      <c r="D9" s="204">
        <v>184405</v>
      </c>
      <c r="E9" s="204">
        <v>202351</v>
      </c>
      <c r="F9" s="204">
        <v>202202</v>
      </c>
      <c r="G9" s="204">
        <v>229574</v>
      </c>
      <c r="H9" s="204">
        <v>206748</v>
      </c>
      <c r="I9" s="204">
        <v>136937</v>
      </c>
      <c r="J9" s="204">
        <v>106379</v>
      </c>
      <c r="K9" s="204">
        <v>129582</v>
      </c>
      <c r="L9" s="204">
        <v>159519</v>
      </c>
      <c r="M9" s="204" t="e">
        <f>NA()</f>
        <v>#N/A</v>
      </c>
      <c r="N9" s="204" t="e">
        <f>NA()</f>
        <v>#N/A</v>
      </c>
      <c r="O9" s="198" t="e">
        <f t="shared" si="0"/>
        <v>#N/A</v>
      </c>
      <c r="P9" s="308" t="e">
        <f t="shared" si="1"/>
        <v>#N/A</v>
      </c>
      <c r="Q9" s="204"/>
      <c r="R9" s="297"/>
      <c r="S9" s="297"/>
      <c r="T9" s="328"/>
      <c r="U9" s="33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s="388" customFormat="1" ht="12.75">
      <c r="A10" s="157"/>
      <c r="B10" s="157" t="s">
        <v>21</v>
      </c>
      <c r="C10" s="204">
        <v>321722</v>
      </c>
      <c r="D10" s="204">
        <v>254163</v>
      </c>
      <c r="E10" s="204">
        <v>337067</v>
      </c>
      <c r="F10" s="204">
        <v>363767</v>
      </c>
      <c r="G10" s="204">
        <v>372020</v>
      </c>
      <c r="H10" s="204">
        <v>297940</v>
      </c>
      <c r="I10" s="204">
        <v>259935</v>
      </c>
      <c r="J10" s="204">
        <v>227451</v>
      </c>
      <c r="K10" s="204">
        <v>260709</v>
      </c>
      <c r="L10" s="204">
        <v>238960</v>
      </c>
      <c r="M10" s="204" t="e">
        <f>NA()</f>
        <v>#N/A</v>
      </c>
      <c r="N10" s="204" t="e">
        <f>NA()</f>
        <v>#N/A</v>
      </c>
      <c r="O10" s="198" t="e">
        <f t="shared" si="0"/>
        <v>#N/A</v>
      </c>
      <c r="P10" s="308" t="e">
        <f t="shared" si="1"/>
        <v>#N/A</v>
      </c>
      <c r="Q10" s="204"/>
      <c r="R10" s="297"/>
      <c r="S10" s="297"/>
      <c r="T10" s="328"/>
      <c r="U10" s="338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</row>
    <row r="11" spans="1:35" s="388" customFormat="1" ht="12.75">
      <c r="A11" s="157"/>
      <c r="B11" s="157" t="s">
        <v>22</v>
      </c>
      <c r="C11" s="204">
        <v>76285</v>
      </c>
      <c r="D11" s="204">
        <v>81271</v>
      </c>
      <c r="E11" s="204">
        <v>74755</v>
      </c>
      <c r="F11" s="204">
        <v>72797</v>
      </c>
      <c r="G11" s="204">
        <v>109696</v>
      </c>
      <c r="H11" s="204">
        <v>97860</v>
      </c>
      <c r="I11" s="204">
        <v>63305</v>
      </c>
      <c r="J11" s="204">
        <v>62227</v>
      </c>
      <c r="K11" s="204">
        <v>74567</v>
      </c>
      <c r="L11" s="204">
        <v>100689</v>
      </c>
      <c r="M11" s="204" t="e">
        <f>NA()</f>
        <v>#N/A</v>
      </c>
      <c r="N11" s="204" t="e">
        <f>NA()</f>
        <v>#N/A</v>
      </c>
      <c r="O11" s="198" t="e">
        <f t="shared" si="0"/>
        <v>#N/A</v>
      </c>
      <c r="P11" s="308" t="e">
        <f t="shared" si="1"/>
        <v>#N/A</v>
      </c>
      <c r="Q11" s="204"/>
      <c r="R11" s="297"/>
      <c r="S11" s="297"/>
      <c r="T11" s="328"/>
      <c r="U11" s="338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1:35" s="388" customFormat="1" ht="12.75">
      <c r="A12" s="157"/>
      <c r="B12" s="157" t="s">
        <v>23</v>
      </c>
      <c r="C12" s="204">
        <v>200605</v>
      </c>
      <c r="D12" s="204">
        <v>184169</v>
      </c>
      <c r="E12" s="204">
        <v>204403</v>
      </c>
      <c r="F12" s="204">
        <v>199846</v>
      </c>
      <c r="G12" s="204">
        <v>222013</v>
      </c>
      <c r="H12" s="204">
        <v>192123</v>
      </c>
      <c r="I12" s="204">
        <v>149169</v>
      </c>
      <c r="J12" s="204">
        <v>155041</v>
      </c>
      <c r="K12" s="204">
        <v>172077</v>
      </c>
      <c r="L12" s="204">
        <v>191860</v>
      </c>
      <c r="M12" s="204" t="e">
        <f>NA()</f>
        <v>#N/A</v>
      </c>
      <c r="N12" s="204" t="e">
        <f>NA()</f>
        <v>#N/A</v>
      </c>
      <c r="O12" s="198" t="e">
        <f t="shared" si="0"/>
        <v>#N/A</v>
      </c>
      <c r="P12" s="308" t="e">
        <f t="shared" si="1"/>
        <v>#N/A</v>
      </c>
      <c r="Q12" s="204"/>
      <c r="R12" s="297"/>
      <c r="S12" s="297"/>
      <c r="T12" s="328"/>
      <c r="U12" s="338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1:35" s="388" customFormat="1" ht="12.75">
      <c r="A13" s="157"/>
      <c r="B13" s="157" t="s">
        <v>24</v>
      </c>
      <c r="C13" s="204">
        <v>177336</v>
      </c>
      <c r="D13" s="204">
        <v>183830</v>
      </c>
      <c r="E13" s="204">
        <v>155901</v>
      </c>
      <c r="F13" s="204">
        <v>166563</v>
      </c>
      <c r="G13" s="204">
        <v>214426</v>
      </c>
      <c r="H13" s="204">
        <v>222221</v>
      </c>
      <c r="I13" s="204">
        <v>171697</v>
      </c>
      <c r="J13" s="204">
        <v>144166</v>
      </c>
      <c r="K13" s="204">
        <v>168585</v>
      </c>
      <c r="L13" s="204">
        <v>187099</v>
      </c>
      <c r="M13" s="204" t="e">
        <f>NA()</f>
        <v>#N/A</v>
      </c>
      <c r="N13" s="204" t="e">
        <f>NA()</f>
        <v>#N/A</v>
      </c>
      <c r="O13" s="198" t="e">
        <f t="shared" si="0"/>
        <v>#N/A</v>
      </c>
      <c r="P13" s="308" t="e">
        <f t="shared" si="1"/>
        <v>#N/A</v>
      </c>
      <c r="Q13" s="204"/>
      <c r="R13" s="297"/>
      <c r="S13" s="297"/>
      <c r="T13" s="328"/>
      <c r="U13" s="338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</row>
    <row r="14" spans="1:35" s="388" customFormat="1" ht="12.75">
      <c r="A14" s="157"/>
      <c r="B14" s="157" t="s">
        <v>25</v>
      </c>
      <c r="C14" s="204">
        <v>230363</v>
      </c>
      <c r="D14" s="204">
        <v>181524</v>
      </c>
      <c r="E14" s="204">
        <v>210694</v>
      </c>
      <c r="F14" s="204">
        <v>197776</v>
      </c>
      <c r="G14" s="204">
        <v>205240</v>
      </c>
      <c r="H14" s="204">
        <v>161009</v>
      </c>
      <c r="I14" s="204">
        <v>115973</v>
      </c>
      <c r="J14" s="204">
        <v>112256</v>
      </c>
      <c r="K14" s="204">
        <v>80633</v>
      </c>
      <c r="L14" s="204">
        <v>130808</v>
      </c>
      <c r="M14" s="204" t="e">
        <f>NA()</f>
        <v>#N/A</v>
      </c>
      <c r="N14" s="204" t="e">
        <f>NA()</f>
        <v>#N/A</v>
      </c>
      <c r="O14" s="198" t="e">
        <f t="shared" si="0"/>
        <v>#N/A</v>
      </c>
      <c r="P14" s="308" t="e">
        <f t="shared" si="1"/>
        <v>#N/A</v>
      </c>
      <c r="Q14" s="204"/>
      <c r="R14" s="297"/>
      <c r="S14" s="297"/>
      <c r="T14" s="328"/>
      <c r="U14" s="338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</row>
    <row r="15" spans="1:66" s="389" customFormat="1" ht="12.75">
      <c r="A15" s="200"/>
      <c r="B15" s="310" t="s">
        <v>26</v>
      </c>
      <c r="C15" s="311">
        <f>SUM(C6:C14)</f>
        <v>1824320</v>
      </c>
      <c r="D15" s="311">
        <f aca="true" t="shared" si="2" ref="D15:O15">SUM(D6:D14)</f>
        <v>1629558</v>
      </c>
      <c r="E15" s="311">
        <f t="shared" si="2"/>
        <v>1739958</v>
      </c>
      <c r="F15" s="311">
        <f t="shared" si="2"/>
        <v>1741254</v>
      </c>
      <c r="G15" s="311">
        <f t="shared" si="2"/>
        <v>1960519</v>
      </c>
      <c r="H15" s="311">
        <f t="shared" si="2"/>
        <v>1798405.8</v>
      </c>
      <c r="I15" s="311">
        <f t="shared" si="2"/>
        <v>1410153</v>
      </c>
      <c r="J15" s="311">
        <f t="shared" si="2"/>
        <v>1228321</v>
      </c>
      <c r="K15" s="311">
        <f t="shared" si="2"/>
        <v>1339338</v>
      </c>
      <c r="L15" s="311">
        <f t="shared" si="2"/>
        <v>1502291</v>
      </c>
      <c r="M15" s="311" t="e">
        <f t="shared" si="2"/>
        <v>#N/A</v>
      </c>
      <c r="N15" s="311" t="e">
        <f t="shared" si="2"/>
        <v>#N/A</v>
      </c>
      <c r="O15" s="311" t="e">
        <f t="shared" si="2"/>
        <v>#N/A</v>
      </c>
      <c r="P15" s="312" t="e">
        <f t="shared" si="1"/>
        <v>#N/A</v>
      </c>
      <c r="Q15" s="313"/>
      <c r="R15" s="429"/>
      <c r="S15" s="429"/>
      <c r="T15" s="335"/>
      <c r="U15" s="430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66" s="389" customFormat="1" ht="12.7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313"/>
      <c r="R16" s="429"/>
      <c r="S16" s="429"/>
      <c r="T16" s="335"/>
      <c r="U16" s="430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1:35" s="388" customFormat="1" ht="12.75">
      <c r="A17" s="157"/>
      <c r="B17" s="157" t="s">
        <v>27</v>
      </c>
      <c r="C17" s="204">
        <v>264480</v>
      </c>
      <c r="D17" s="204">
        <v>202400</v>
      </c>
      <c r="E17" s="204">
        <v>255595</v>
      </c>
      <c r="F17" s="204">
        <v>336901</v>
      </c>
      <c r="G17" s="204">
        <v>342058</v>
      </c>
      <c r="H17" s="204">
        <v>299124</v>
      </c>
      <c r="I17" s="204">
        <v>213122</v>
      </c>
      <c r="J17" s="204">
        <v>220028</v>
      </c>
      <c r="K17" s="204">
        <v>352216</v>
      </c>
      <c r="L17" s="204">
        <v>283356</v>
      </c>
      <c r="M17" s="204" t="e">
        <f>NA()</f>
        <v>#N/A</v>
      </c>
      <c r="N17" s="204" t="e">
        <f>NA()</f>
        <v>#N/A</v>
      </c>
      <c r="O17" s="198" t="e">
        <f>SUM(C17:N17)</f>
        <v>#N/A</v>
      </c>
      <c r="P17" s="308" t="e">
        <f>NA()</f>
        <v>#N/A</v>
      </c>
      <c r="Q17" s="204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</row>
    <row r="18" spans="1:35" s="388" customFormat="1" ht="12.75">
      <c r="A18" s="157"/>
      <c r="B18" s="204" t="s">
        <v>104</v>
      </c>
      <c r="C18" s="204">
        <v>80387</v>
      </c>
      <c r="D18" s="204">
        <v>85519</v>
      </c>
      <c r="E18" s="204">
        <v>99507</v>
      </c>
      <c r="F18" s="204">
        <v>78453</v>
      </c>
      <c r="G18" s="204">
        <v>88922</v>
      </c>
      <c r="H18" s="204">
        <v>84059</v>
      </c>
      <c r="I18" s="204">
        <v>62969</v>
      </c>
      <c r="J18" s="204">
        <v>55296</v>
      </c>
      <c r="K18" s="204">
        <v>60080</v>
      </c>
      <c r="L18" s="204">
        <v>80303</v>
      </c>
      <c r="M18" s="204" t="e">
        <f>NA()</f>
        <v>#N/A</v>
      </c>
      <c r="N18" s="204" t="e">
        <f>NA()</f>
        <v>#N/A</v>
      </c>
      <c r="O18" s="198" t="e">
        <f>SUM(C18:N18)</f>
        <v>#N/A</v>
      </c>
      <c r="P18" s="308" t="e">
        <f>NA()</f>
        <v>#N/A</v>
      </c>
      <c r="Q18" s="204"/>
      <c r="R18" s="297"/>
      <c r="S18" s="297"/>
      <c r="T18" s="328"/>
      <c r="U18" s="338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</row>
    <row r="19" spans="1:35" s="388" customFormat="1" ht="12.75">
      <c r="A19" s="157"/>
      <c r="B19" s="196" t="s">
        <v>28</v>
      </c>
      <c r="C19" s="321">
        <f aca="true" t="shared" si="3" ref="C19:P19">+C15+C17</f>
        <v>2088800</v>
      </c>
      <c r="D19" s="321">
        <f t="shared" si="3"/>
        <v>1831958</v>
      </c>
      <c r="E19" s="321">
        <f t="shared" si="3"/>
        <v>1995553</v>
      </c>
      <c r="F19" s="321">
        <f t="shared" si="3"/>
        <v>2078155</v>
      </c>
      <c r="G19" s="321">
        <f t="shared" si="3"/>
        <v>2302577</v>
      </c>
      <c r="H19" s="321">
        <f t="shared" si="3"/>
        <v>2097529.8</v>
      </c>
      <c r="I19" s="321">
        <f t="shared" si="3"/>
        <v>1623275</v>
      </c>
      <c r="J19" s="321">
        <f t="shared" si="3"/>
        <v>1448349</v>
      </c>
      <c r="K19" s="321">
        <f t="shared" si="3"/>
        <v>1691554</v>
      </c>
      <c r="L19" s="321">
        <f t="shared" si="3"/>
        <v>1785647</v>
      </c>
      <c r="M19" s="321" t="e">
        <f t="shared" si="3"/>
        <v>#N/A</v>
      </c>
      <c r="N19" s="321" t="e">
        <f t="shared" si="3"/>
        <v>#N/A</v>
      </c>
      <c r="O19" s="321" t="e">
        <f t="shared" si="3"/>
        <v>#N/A</v>
      </c>
      <c r="P19" s="322" t="e">
        <f t="shared" si="3"/>
        <v>#N/A</v>
      </c>
      <c r="Q19" s="204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</row>
    <row r="20" spans="1:35" s="388" customFormat="1" ht="12.75">
      <c r="A20" s="157"/>
      <c r="B20" s="197" t="s">
        <v>50</v>
      </c>
      <c r="C20" s="323">
        <f>C19</f>
        <v>2088800</v>
      </c>
      <c r="D20" s="323">
        <f aca="true" t="shared" si="4" ref="D20:N20">C20+D19</f>
        <v>3920758</v>
      </c>
      <c r="E20" s="323">
        <f t="shared" si="4"/>
        <v>5916311</v>
      </c>
      <c r="F20" s="323">
        <f t="shared" si="4"/>
        <v>7994466</v>
      </c>
      <c r="G20" s="323">
        <f t="shared" si="4"/>
        <v>10297043</v>
      </c>
      <c r="H20" s="323">
        <f t="shared" si="4"/>
        <v>12394572.8</v>
      </c>
      <c r="I20" s="323">
        <f t="shared" si="4"/>
        <v>14017847.8</v>
      </c>
      <c r="J20" s="323">
        <f t="shared" si="4"/>
        <v>15466196.8</v>
      </c>
      <c r="K20" s="323">
        <f t="shared" si="4"/>
        <v>17157750.8</v>
      </c>
      <c r="L20" s="323">
        <f t="shared" si="4"/>
        <v>18943397.8</v>
      </c>
      <c r="M20" s="323" t="e">
        <f t="shared" si="4"/>
        <v>#N/A</v>
      </c>
      <c r="N20" s="323" t="e">
        <f t="shared" si="4"/>
        <v>#N/A</v>
      </c>
      <c r="O20" s="323" t="e">
        <f>N20+O19</f>
        <v>#N/A</v>
      </c>
      <c r="P20" s="323" t="e">
        <f>O20+P19</f>
        <v>#N/A</v>
      </c>
      <c r="Q20" s="204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</row>
    <row r="21" spans="1:35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</row>
    <row r="22" spans="1:35" ht="13.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122" t="s">
        <v>30</v>
      </c>
      <c r="B23" s="122"/>
      <c r="C23" s="456"/>
      <c r="D23" s="455"/>
      <c r="E23" s="455"/>
      <c r="F23" s="123"/>
      <c r="G23" s="123"/>
      <c r="H23" s="207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.75">
      <c r="A24" s="123"/>
      <c r="B24" s="123"/>
      <c r="C24" s="455"/>
      <c r="D24" s="455"/>
      <c r="E24" s="455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.75">
      <c r="A25" s="123"/>
      <c r="B25" s="123"/>
      <c r="C25" s="457"/>
      <c r="D25" s="125"/>
      <c r="E25" s="125"/>
      <c r="F25" s="125"/>
      <c r="G25" s="125"/>
      <c r="H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7"/>
      <c r="Q27" s="1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388" customFormat="1" ht="13.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198">
        <f>SUM(C29:N29)</f>
        <v>0</v>
      </c>
      <c r="P29" s="308" t="e">
        <f aca="true" t="shared" si="5" ref="P29:P37">+O29/$O$49</f>
        <v>#N/A</v>
      </c>
      <c r="Q29" s="204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</row>
    <row r="30" spans="1:35" s="388" customFormat="1" ht="12.75">
      <c r="A30" s="157"/>
      <c r="B30" s="157" t="s">
        <v>17</v>
      </c>
      <c r="C30" s="204">
        <v>992286</v>
      </c>
      <c r="D30" s="204">
        <v>907251</v>
      </c>
      <c r="E30" s="204">
        <v>952223</v>
      </c>
      <c r="F30" s="204">
        <v>867981</v>
      </c>
      <c r="G30" s="204">
        <v>924434</v>
      </c>
      <c r="H30" s="204">
        <v>901744.2</v>
      </c>
      <c r="I30" s="204">
        <v>664820</v>
      </c>
      <c r="J30" s="204">
        <v>604073</v>
      </c>
      <c r="K30" s="204">
        <v>625018</v>
      </c>
      <c r="L30" s="204">
        <v>707630</v>
      </c>
      <c r="M30" s="204" t="e">
        <f>NA()</f>
        <v>#N/A</v>
      </c>
      <c r="N30" s="204" t="e">
        <f>NA()</f>
        <v>#N/A</v>
      </c>
      <c r="O30" s="198"/>
      <c r="P30" s="308" t="e">
        <f t="shared" si="5"/>
        <v>#N/A</v>
      </c>
      <c r="Q30" s="204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388" customFormat="1" ht="12.75">
      <c r="A31" s="157"/>
      <c r="B31" s="157" t="s">
        <v>18</v>
      </c>
      <c r="C31" s="204">
        <v>854512</v>
      </c>
      <c r="D31" s="204">
        <v>808096</v>
      </c>
      <c r="E31" s="204">
        <v>686220</v>
      </c>
      <c r="F31" s="204">
        <v>568634.61</v>
      </c>
      <c r="G31" s="204">
        <v>957163</v>
      </c>
      <c r="H31" s="204">
        <v>862262</v>
      </c>
      <c r="I31" s="204">
        <v>862262</v>
      </c>
      <c r="J31" s="204">
        <v>541517</v>
      </c>
      <c r="K31" s="204">
        <v>615700</v>
      </c>
      <c r="L31" s="204">
        <v>760000</v>
      </c>
      <c r="M31" s="204" t="e">
        <f>NA()</f>
        <v>#N/A</v>
      </c>
      <c r="N31" s="204" t="e">
        <f>NA()</f>
        <v>#N/A</v>
      </c>
      <c r="O31" s="198"/>
      <c r="P31" s="308" t="e">
        <f t="shared" si="5"/>
        <v>#N/A</v>
      </c>
      <c r="Q31" s="204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</row>
    <row r="32" spans="1:35" s="388" customFormat="1" ht="12.75">
      <c r="A32" s="157"/>
      <c r="B32" s="157" t="s">
        <v>19</v>
      </c>
      <c r="C32" s="204">
        <v>768984</v>
      </c>
      <c r="D32" s="204">
        <v>671170</v>
      </c>
      <c r="E32" s="204">
        <v>648795</v>
      </c>
      <c r="F32" s="204">
        <v>696267</v>
      </c>
      <c r="G32" s="204">
        <v>748212</v>
      </c>
      <c r="H32" s="204">
        <v>778416</v>
      </c>
      <c r="I32" s="204">
        <v>610566</v>
      </c>
      <c r="J32" s="204">
        <v>529323</v>
      </c>
      <c r="K32" s="204">
        <v>609152</v>
      </c>
      <c r="L32" s="204">
        <v>649467</v>
      </c>
      <c r="M32" s="204" t="e">
        <f>NA()</f>
        <v>#N/A</v>
      </c>
      <c r="N32" s="204" t="e">
        <f>NA()</f>
        <v>#N/A</v>
      </c>
      <c r="O32" s="198"/>
      <c r="P32" s="308" t="e">
        <f t="shared" si="5"/>
        <v>#N/A</v>
      </c>
      <c r="Q32" s="15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</row>
    <row r="33" spans="1:35" s="388" customFormat="1" ht="12.75">
      <c r="A33" s="157"/>
      <c r="B33" s="157" t="s">
        <v>105</v>
      </c>
      <c r="C33" s="204">
        <v>949594</v>
      </c>
      <c r="D33" s="204">
        <v>800421</v>
      </c>
      <c r="E33" s="204">
        <v>869794</v>
      </c>
      <c r="F33" s="204">
        <v>875525</v>
      </c>
      <c r="G33" s="204">
        <v>997328</v>
      </c>
      <c r="H33" s="204">
        <v>897567</v>
      </c>
      <c r="I33" s="204">
        <v>586163</v>
      </c>
      <c r="J33" s="204">
        <v>428814</v>
      </c>
      <c r="K33" s="204">
        <v>505707</v>
      </c>
      <c r="L33" s="204">
        <v>646516</v>
      </c>
      <c r="M33" s="204" t="e">
        <f>NA()</f>
        <v>#N/A</v>
      </c>
      <c r="N33" s="204" t="e">
        <f>NA()</f>
        <v>#N/A</v>
      </c>
      <c r="O33" s="198"/>
      <c r="P33" s="308" t="e">
        <f t="shared" si="5"/>
        <v>#N/A</v>
      </c>
      <c r="Q33" s="204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</row>
    <row r="34" spans="1:35" s="388" customFormat="1" ht="12.75">
      <c r="A34" s="157"/>
      <c r="B34" s="157" t="s">
        <v>104</v>
      </c>
      <c r="C34" s="204">
        <v>314890</v>
      </c>
      <c r="D34" s="204">
        <v>329151</v>
      </c>
      <c r="E34" s="204">
        <v>384045</v>
      </c>
      <c r="F34" s="204">
        <v>309796</v>
      </c>
      <c r="G34" s="204">
        <v>347096</v>
      </c>
      <c r="H34" s="204">
        <v>316068</v>
      </c>
      <c r="I34" s="204">
        <v>221201</v>
      </c>
      <c r="J34" s="204">
        <v>196853</v>
      </c>
      <c r="K34" s="204">
        <v>218822</v>
      </c>
      <c r="L34" s="204">
        <v>298888</v>
      </c>
      <c r="M34" s="204" t="e">
        <f>NA()</f>
        <v>#N/A</v>
      </c>
      <c r="N34" s="204" t="e">
        <f>NA()</f>
        <v>#N/A</v>
      </c>
      <c r="O34" s="198"/>
      <c r="P34" s="308" t="e">
        <f t="shared" si="5"/>
        <v>#N/A</v>
      </c>
      <c r="Q34" s="204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</row>
    <row r="35" spans="1:35" s="388" customFormat="1" ht="12.75">
      <c r="A35" s="157"/>
      <c r="B35" s="157" t="s">
        <v>21</v>
      </c>
      <c r="C35" s="204">
        <v>1361853</v>
      </c>
      <c r="D35" s="204">
        <v>1046871</v>
      </c>
      <c r="E35" s="204">
        <v>1408938</v>
      </c>
      <c r="F35" s="204">
        <v>1571998</v>
      </c>
      <c r="G35" s="204">
        <v>1614173</v>
      </c>
      <c r="H35" s="204">
        <v>1290083</v>
      </c>
      <c r="I35" s="204">
        <v>1124519</v>
      </c>
      <c r="J35" s="204">
        <v>947797</v>
      </c>
      <c r="K35" s="204">
        <v>1249913</v>
      </c>
      <c r="L35" s="204">
        <v>1637110</v>
      </c>
      <c r="M35" s="204" t="e">
        <f>NA()</f>
        <v>#N/A</v>
      </c>
      <c r="N35" s="204" t="e">
        <f>NA()</f>
        <v>#N/A</v>
      </c>
      <c r="O35" s="198"/>
      <c r="P35" s="308" t="e">
        <f t="shared" si="5"/>
        <v>#N/A</v>
      </c>
      <c r="Q35" s="15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</row>
    <row r="36" spans="1:35" s="388" customFormat="1" ht="12.75">
      <c r="A36" s="157"/>
      <c r="B36" s="157" t="s">
        <v>22</v>
      </c>
      <c r="C36" s="204">
        <v>313618</v>
      </c>
      <c r="D36" s="204">
        <v>327651</v>
      </c>
      <c r="E36" s="204">
        <v>303829</v>
      </c>
      <c r="F36" s="204">
        <v>307694</v>
      </c>
      <c r="G36" s="204">
        <v>469599</v>
      </c>
      <c r="H36" s="204">
        <v>399744</v>
      </c>
      <c r="I36" s="204">
        <v>249594</v>
      </c>
      <c r="J36" s="204">
        <v>246543</v>
      </c>
      <c r="K36" s="204">
        <v>303292</v>
      </c>
      <c r="L36" s="204">
        <v>414136</v>
      </c>
      <c r="M36" s="204" t="e">
        <f>NA()</f>
        <v>#N/A</v>
      </c>
      <c r="N36" s="204" t="e">
        <f>NA()</f>
        <v>#N/A</v>
      </c>
      <c r="O36" s="198"/>
      <c r="P36" s="308" t="e">
        <f t="shared" si="5"/>
        <v>#N/A</v>
      </c>
      <c r="Q36" s="15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</row>
    <row r="37" spans="1:35" s="388" customFormat="1" ht="12.75">
      <c r="A37" s="157"/>
      <c r="B37" s="157" t="s">
        <v>24</v>
      </c>
      <c r="C37" s="204">
        <v>731330</v>
      </c>
      <c r="D37" s="204">
        <v>745522</v>
      </c>
      <c r="E37" s="204">
        <v>639484</v>
      </c>
      <c r="F37" s="204">
        <v>702916</v>
      </c>
      <c r="G37" s="204">
        <v>921720</v>
      </c>
      <c r="H37" s="204">
        <v>886687</v>
      </c>
      <c r="I37" s="204">
        <v>654377</v>
      </c>
      <c r="J37" s="204">
        <v>555281</v>
      </c>
      <c r="K37" s="204">
        <v>668709</v>
      </c>
      <c r="L37" s="204">
        <v>769264</v>
      </c>
      <c r="M37" s="204" t="e">
        <f>NA()</f>
        <v>#N/A</v>
      </c>
      <c r="N37" s="204" t="e">
        <f>NA()</f>
        <v>#N/A</v>
      </c>
      <c r="O37" s="198"/>
      <c r="P37" s="308" t="e">
        <f t="shared" si="5"/>
        <v>#N/A</v>
      </c>
      <c r="Q37" s="204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3:14" ht="12.75">
      <c r="C38" s="204"/>
      <c r="D38" s="204"/>
      <c r="E38" s="204"/>
      <c r="M38" s="204"/>
      <c r="N38" s="204"/>
    </row>
    <row r="39" spans="1:35" s="388" customFormat="1" ht="12.75">
      <c r="A39" s="157"/>
      <c r="B39" s="157" t="s">
        <v>25</v>
      </c>
      <c r="C39" s="204">
        <v>1105685</v>
      </c>
      <c r="D39" s="204">
        <v>816859</v>
      </c>
      <c r="E39" s="204">
        <v>948121</v>
      </c>
      <c r="F39" s="204">
        <v>929549</v>
      </c>
      <c r="G39" s="204">
        <v>923578</v>
      </c>
      <c r="H39" s="204">
        <v>900150</v>
      </c>
      <c r="I39" s="204">
        <v>510284</v>
      </c>
      <c r="J39" s="204">
        <v>493928</v>
      </c>
      <c r="K39" s="204">
        <v>362851</v>
      </c>
      <c r="L39" s="204">
        <v>575559</v>
      </c>
      <c r="M39" s="204" t="e">
        <f>NA()</f>
        <v>#N/A</v>
      </c>
      <c r="N39" s="204" t="e">
        <f>NA()</f>
        <v>#N/A</v>
      </c>
      <c r="O39" s="198"/>
      <c r="P39" s="308" t="e">
        <f>+O39/$O$49</f>
        <v>#N/A</v>
      </c>
      <c r="Q39" s="204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s="388" customFormat="1" ht="12.75">
      <c r="A40" s="157"/>
      <c r="B40" s="346" t="s">
        <v>26</v>
      </c>
      <c r="C40" s="198">
        <f aca="true" t="shared" si="6" ref="C40:N40">SUM(C29:C39)</f>
        <v>7392752</v>
      </c>
      <c r="D40" s="198">
        <f t="shared" si="6"/>
        <v>6452992</v>
      </c>
      <c r="E40" s="198">
        <f t="shared" si="6"/>
        <v>6841449</v>
      </c>
      <c r="F40" s="198">
        <f t="shared" si="6"/>
        <v>6830360.609999999</v>
      </c>
      <c r="G40" s="198">
        <f t="shared" si="6"/>
        <v>7903303</v>
      </c>
      <c r="H40" s="198">
        <f t="shared" si="6"/>
        <v>7232721.2</v>
      </c>
      <c r="I40" s="198">
        <f t="shared" si="6"/>
        <v>5483786</v>
      </c>
      <c r="J40" s="198">
        <f t="shared" si="6"/>
        <v>4544129</v>
      </c>
      <c r="K40" s="198">
        <f t="shared" si="6"/>
        <v>5159164</v>
      </c>
      <c r="L40" s="198">
        <f t="shared" si="6"/>
        <v>6458570</v>
      </c>
      <c r="M40" s="198" t="e">
        <f t="shared" si="6"/>
        <v>#N/A</v>
      </c>
      <c r="N40" s="198" t="e">
        <f t="shared" si="6"/>
        <v>#N/A</v>
      </c>
      <c r="O40" s="198">
        <f>SUM(O30:O39)</f>
        <v>0</v>
      </c>
      <c r="P40" s="308" t="e">
        <f>+O40/$O$49</f>
        <v>#N/A</v>
      </c>
      <c r="Q40" s="204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</row>
    <row r="41" spans="1:35" s="388" customFormat="1" ht="12.75">
      <c r="A41" s="157"/>
      <c r="B41" s="346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308"/>
      <c r="Q41" s="204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 s="388" customFormat="1" ht="12.75">
      <c r="A42" s="157"/>
      <c r="B42" s="346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308"/>
      <c r="Q42" s="204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 s="388" customFormat="1" ht="12.75">
      <c r="A43" s="157"/>
      <c r="B43" s="157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  <c r="P43" s="320"/>
      <c r="Q43" s="204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</row>
    <row r="44" spans="1:35" s="388" customFormat="1" ht="12.75">
      <c r="A44" s="157"/>
      <c r="B44" s="157" t="s">
        <v>27</v>
      </c>
      <c r="C44" s="204">
        <v>1135378</v>
      </c>
      <c r="D44" s="204">
        <v>838602</v>
      </c>
      <c r="E44" s="204">
        <v>1103069</v>
      </c>
      <c r="F44" s="204">
        <v>1512596</v>
      </c>
      <c r="G44" s="204">
        <v>1515930</v>
      </c>
      <c r="H44" s="204">
        <v>1269913</v>
      </c>
      <c r="I44" s="204">
        <v>872046</v>
      </c>
      <c r="J44" s="204">
        <v>893884</v>
      </c>
      <c r="K44" s="204">
        <v>1084978</v>
      </c>
      <c r="L44" s="204">
        <v>1222504</v>
      </c>
      <c r="M44" s="204" t="e">
        <f>NA()</f>
        <v>#N/A</v>
      </c>
      <c r="N44" s="204" t="e">
        <f>NA()</f>
        <v>#N/A</v>
      </c>
      <c r="O44" s="198" t="e">
        <f>SUM(C44:N44)</f>
        <v>#N/A</v>
      </c>
      <c r="P44" s="308" t="e">
        <f>+O44/$O$49</f>
        <v>#N/A</v>
      </c>
      <c r="Q44" s="204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 s="388" customFormat="1" ht="12.75">
      <c r="A45" s="157"/>
      <c r="B45" s="157" t="s">
        <v>57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 t="e">
        <f>NA()</f>
        <v>#N/A</v>
      </c>
      <c r="N45" s="204" t="e">
        <f>NA()</f>
        <v>#N/A</v>
      </c>
      <c r="O45" s="198" t="e">
        <f>SUM(C45:N45)</f>
        <v>#N/A</v>
      </c>
      <c r="P45" s="308" t="e">
        <f>+O45/$O$49</f>
        <v>#N/A</v>
      </c>
      <c r="Q45" s="204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</row>
    <row r="46" spans="1:35" s="388" customFormat="1" ht="12.75">
      <c r="A46" s="157"/>
      <c r="B46" s="157" t="s">
        <v>106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 t="e">
        <f>NA()</f>
        <v>#N/A</v>
      </c>
      <c r="N46" s="204" t="e">
        <f>NA()</f>
        <v>#N/A</v>
      </c>
      <c r="O46" s="198" t="e">
        <f>SUM(C46:N46)</f>
        <v>#N/A</v>
      </c>
      <c r="P46" s="308" t="e">
        <f>+O46/$O$49</f>
        <v>#N/A</v>
      </c>
      <c r="Q46" s="15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 s="388" customFormat="1" ht="12.75">
      <c r="A47" s="157"/>
      <c r="B47" s="157" t="s">
        <v>107</v>
      </c>
      <c r="C47" s="204">
        <v>864093</v>
      </c>
      <c r="D47" s="204">
        <v>782136</v>
      </c>
      <c r="E47" s="204">
        <v>866346</v>
      </c>
      <c r="F47" s="204">
        <v>816404</v>
      </c>
      <c r="G47" s="204">
        <v>916305</v>
      </c>
      <c r="H47" s="204">
        <v>768893</v>
      </c>
      <c r="I47" s="204">
        <v>581497</v>
      </c>
      <c r="J47" s="204">
        <v>617563</v>
      </c>
      <c r="K47" s="204">
        <v>712395</v>
      </c>
      <c r="L47" s="204">
        <v>800234</v>
      </c>
      <c r="M47" s="204" t="e">
        <f>NA()</f>
        <v>#N/A</v>
      </c>
      <c r="N47" s="204" t="e">
        <f>NA()</f>
        <v>#N/A</v>
      </c>
      <c r="O47" s="198" t="e">
        <f>SUM(C47:N47)</f>
        <v>#N/A</v>
      </c>
      <c r="P47" s="308" t="e">
        <f>+O47/$O$49</f>
        <v>#N/A</v>
      </c>
      <c r="Q47" s="15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 s="388" customFormat="1" ht="12.7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320"/>
      <c r="Q48" s="204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</row>
    <row r="49" spans="1:35" s="388" customFormat="1" ht="12.75">
      <c r="A49" s="157"/>
      <c r="B49" s="196" t="s">
        <v>28</v>
      </c>
      <c r="C49" s="321">
        <f aca="true" t="shared" si="7" ref="C49:O49">+C40+C44+C45+C46+C47</f>
        <v>9392223</v>
      </c>
      <c r="D49" s="321">
        <f t="shared" si="7"/>
        <v>8073730</v>
      </c>
      <c r="E49" s="321">
        <f t="shared" si="7"/>
        <v>8810864</v>
      </c>
      <c r="F49" s="321">
        <f t="shared" si="7"/>
        <v>9159360.61</v>
      </c>
      <c r="G49" s="321">
        <f t="shared" si="7"/>
        <v>10335538</v>
      </c>
      <c r="H49" s="321">
        <f t="shared" si="7"/>
        <v>9271527.2</v>
      </c>
      <c r="I49" s="321">
        <f t="shared" si="7"/>
        <v>6937329</v>
      </c>
      <c r="J49" s="321">
        <f t="shared" si="7"/>
        <v>6055576</v>
      </c>
      <c r="K49" s="321">
        <f t="shared" si="7"/>
        <v>6956537</v>
      </c>
      <c r="L49" s="321">
        <f t="shared" si="7"/>
        <v>8481308</v>
      </c>
      <c r="M49" s="321" t="e">
        <f t="shared" si="7"/>
        <v>#N/A</v>
      </c>
      <c r="N49" s="321" t="e">
        <f t="shared" si="7"/>
        <v>#N/A</v>
      </c>
      <c r="O49" s="321" t="e">
        <f t="shared" si="7"/>
        <v>#N/A</v>
      </c>
      <c r="P49" s="322" t="e">
        <f>+P40+P44+P45</f>
        <v>#N/A</v>
      </c>
      <c r="Q49" s="204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 s="388" customFormat="1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</row>
    <row r="51" spans="1:35" s="388" customFormat="1" ht="12.75">
      <c r="A51" s="157"/>
      <c r="B51" s="201">
        <f ca="1">NOW()</f>
        <v>40948.65149502315</v>
      </c>
      <c r="C51" s="202" t="s">
        <v>58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 s="388" customFormat="1" ht="12.75">
      <c r="A52" s="157"/>
      <c r="B52" s="201"/>
      <c r="C52" s="202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 s="388" customFormat="1" ht="12.75">
      <c r="A53" s="157"/>
      <c r="B53" s="201"/>
      <c r="C53" s="202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 ht="12.7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.7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.7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.75">
      <c r="A65" s="23" t="s">
        <v>46</v>
      </c>
      <c r="B65" s="23"/>
      <c r="C65" s="286" t="s">
        <v>47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3"/>
      <c r="P65" s="300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.75">
      <c r="A66" s="23"/>
      <c r="B66" s="23"/>
      <c r="C66" s="287" t="s">
        <v>2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thickBot="1">
      <c r="A67" s="23"/>
      <c r="B67" s="289"/>
      <c r="C67" s="290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>
        <v>1998</v>
      </c>
      <c r="P67" s="289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thickBot="1" thickTop="1">
      <c r="A68" s="23"/>
      <c r="B68" s="293"/>
      <c r="C68" s="294" t="s">
        <v>3</v>
      </c>
      <c r="D68" s="295" t="s">
        <v>4</v>
      </c>
      <c r="E68" s="295" t="s">
        <v>5</v>
      </c>
      <c r="F68" s="295" t="s">
        <v>6</v>
      </c>
      <c r="G68" s="295" t="s">
        <v>7</v>
      </c>
      <c r="H68" s="295" t="s">
        <v>8</v>
      </c>
      <c r="I68" s="295" t="s">
        <v>9</v>
      </c>
      <c r="J68" s="295" t="s">
        <v>10</v>
      </c>
      <c r="K68" s="296" t="s">
        <v>11</v>
      </c>
      <c r="L68" s="295" t="s">
        <v>12</v>
      </c>
      <c r="M68" s="295" t="s">
        <v>13</v>
      </c>
      <c r="N68" s="295" t="s">
        <v>14</v>
      </c>
      <c r="O68" s="301" t="s">
        <v>15</v>
      </c>
      <c r="P68" s="302" t="s">
        <v>16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3.5" thickTop="1">
      <c r="A69" s="23"/>
      <c r="B69" s="392"/>
      <c r="C69" s="393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3"/>
      <c r="P69" s="436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394" t="s">
        <v>42</v>
      </c>
      <c r="C70" s="437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97"/>
      <c r="P70" s="439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398" t="s">
        <v>33</v>
      </c>
      <c r="C71" s="440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397">
        <f>SUM(C71:N71)</f>
        <v>0</v>
      </c>
      <c r="P71" s="439" t="e">
        <f>+O71/$O$95</f>
        <v>#DIV/0!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2.75">
      <c r="A72" s="23"/>
      <c r="B72" s="394" t="s">
        <v>34</v>
      </c>
      <c r="C72" s="440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397">
        <f>SUM(C72:N72)</f>
        <v>0</v>
      </c>
      <c r="P72" s="439" t="e">
        <f>+O72/$O$96</f>
        <v>#DIV/0!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2.75">
      <c r="A73" s="23"/>
      <c r="B73" s="398"/>
      <c r="C73" s="440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397"/>
      <c r="P73" s="439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2.75">
      <c r="A74" s="23"/>
      <c r="B74" s="398" t="s">
        <v>43</v>
      </c>
      <c r="C74" s="440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397"/>
      <c r="P74" s="439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2.75">
      <c r="A75" s="23"/>
      <c r="B75" s="398" t="s">
        <v>33</v>
      </c>
      <c r="C75" s="440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397">
        <f>SUM(C75:N75)</f>
        <v>0</v>
      </c>
      <c r="P75" s="439" t="e">
        <f>+O75/$O$95</f>
        <v>#DIV/0!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2.75">
      <c r="A76" s="23"/>
      <c r="B76" s="394" t="s">
        <v>34</v>
      </c>
      <c r="C76" s="440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397">
        <f>SUM(C76:N76)</f>
        <v>0</v>
      </c>
      <c r="P76" s="439" t="e">
        <f>+O76/$O$96</f>
        <v>#DIV/0!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2.75">
      <c r="A77" s="23"/>
      <c r="B77" s="398"/>
      <c r="C77" s="440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397"/>
      <c r="P77" s="439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2.75">
      <c r="A78" s="23"/>
      <c r="B78" s="394" t="s">
        <v>32</v>
      </c>
      <c r="C78" s="440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397"/>
      <c r="P78" s="4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2.75">
      <c r="A79" s="23"/>
      <c r="B79" s="398" t="s">
        <v>33</v>
      </c>
      <c r="C79" s="440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397">
        <f>SUM(C79:N79)</f>
        <v>0</v>
      </c>
      <c r="P79" s="439" t="e">
        <f>+O79/$O$95</f>
        <v>#DIV/0!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2.75">
      <c r="A80" s="23"/>
      <c r="B80" s="394" t="s">
        <v>34</v>
      </c>
      <c r="C80" s="440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97">
        <f>SUM(C80:N80)</f>
        <v>0</v>
      </c>
      <c r="P80" s="439" t="e">
        <f>+O80/$O$96</f>
        <v>#DIV/0!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2.75">
      <c r="A81" s="23"/>
      <c r="B81" s="398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397"/>
      <c r="P81" s="439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2.75">
      <c r="A82" s="23"/>
      <c r="B82" s="394" t="s">
        <v>44</v>
      </c>
      <c r="C82" s="440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397"/>
      <c r="P82" s="4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2.75">
      <c r="A83" s="23"/>
      <c r="B83" s="398" t="s">
        <v>33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397">
        <f>SUM(C83:N83)</f>
        <v>0</v>
      </c>
      <c r="P83" s="439" t="e">
        <f>+O83/$O$95</f>
        <v>#DIV/0!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2.75">
      <c r="A84" s="23"/>
      <c r="B84" s="394" t="s">
        <v>34</v>
      </c>
      <c r="C84" s="440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397">
        <f>SUM(C84:N84)</f>
        <v>0</v>
      </c>
      <c r="P84" s="439" t="e">
        <f>+O84/$O$96</f>
        <v>#DIV/0!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2.75">
      <c r="A85" s="23"/>
      <c r="B85" s="398"/>
      <c r="C85" s="440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397"/>
      <c r="P85" s="439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2.75">
      <c r="A86" s="23"/>
      <c r="B86" s="400" t="s">
        <v>28</v>
      </c>
      <c r="C86" s="440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97"/>
      <c r="P86" s="43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2.75">
      <c r="A87" s="23"/>
      <c r="B87" s="402" t="s">
        <v>33</v>
      </c>
      <c r="C87" s="414">
        <f aca="true" t="shared" si="8" ref="C87:N87">+C71+C75+C79+C83</f>
        <v>0</v>
      </c>
      <c r="D87" s="442">
        <f t="shared" si="8"/>
        <v>0</v>
      </c>
      <c r="E87" s="442">
        <f t="shared" si="8"/>
        <v>0</v>
      </c>
      <c r="F87" s="442">
        <f t="shared" si="8"/>
        <v>0</v>
      </c>
      <c r="G87" s="442">
        <f t="shared" si="8"/>
        <v>0</v>
      </c>
      <c r="H87" s="442">
        <f t="shared" si="8"/>
        <v>0</v>
      </c>
      <c r="I87" s="442">
        <f t="shared" si="8"/>
        <v>0</v>
      </c>
      <c r="J87" s="442">
        <f t="shared" si="8"/>
        <v>0</v>
      </c>
      <c r="K87" s="442">
        <f t="shared" si="8"/>
        <v>0</v>
      </c>
      <c r="L87" s="442">
        <f t="shared" si="8"/>
        <v>0</v>
      </c>
      <c r="M87" s="442">
        <f t="shared" si="8"/>
        <v>0</v>
      </c>
      <c r="N87" s="442">
        <f t="shared" si="8"/>
        <v>0</v>
      </c>
      <c r="O87" s="405">
        <f>SUM(C87:N87)</f>
        <v>0</v>
      </c>
      <c r="P87" s="443" t="e">
        <f>+P71+P75+P79+P83</f>
        <v>#DIV/0!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2.75">
      <c r="A88" s="23"/>
      <c r="B88" s="406" t="s">
        <v>34</v>
      </c>
      <c r="C88" s="414">
        <f aca="true" t="shared" si="9" ref="C88:N88">+C72+C76+C80+C84</f>
        <v>0</v>
      </c>
      <c r="D88" s="442">
        <f t="shared" si="9"/>
        <v>0</v>
      </c>
      <c r="E88" s="442">
        <f t="shared" si="9"/>
        <v>0</v>
      </c>
      <c r="F88" s="442">
        <f t="shared" si="9"/>
        <v>0</v>
      </c>
      <c r="G88" s="442">
        <f t="shared" si="9"/>
        <v>0</v>
      </c>
      <c r="H88" s="442">
        <f t="shared" si="9"/>
        <v>0</v>
      </c>
      <c r="I88" s="442">
        <f t="shared" si="9"/>
        <v>0</v>
      </c>
      <c r="J88" s="442">
        <f t="shared" si="9"/>
        <v>0</v>
      </c>
      <c r="K88" s="442">
        <f t="shared" si="9"/>
        <v>0</v>
      </c>
      <c r="L88" s="442">
        <f t="shared" si="9"/>
        <v>0</v>
      </c>
      <c r="M88" s="442">
        <f t="shared" si="9"/>
        <v>0</v>
      </c>
      <c r="N88" s="442">
        <f t="shared" si="9"/>
        <v>0</v>
      </c>
      <c r="O88" s="405">
        <f>SUM(C88:N88)</f>
        <v>0</v>
      </c>
      <c r="P88" s="443" t="e">
        <f>+P72+P76+P80+P84</f>
        <v>#DIV/0!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2.75">
      <c r="A89" s="23"/>
      <c r="B89" s="408"/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10"/>
      <c r="P89" s="446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2.75">
      <c r="A90" s="23"/>
      <c r="B90" s="411" t="s">
        <v>27</v>
      </c>
      <c r="C90" s="440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97"/>
      <c r="P90" s="4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2.75">
      <c r="A91" s="23"/>
      <c r="B91" s="398" t="s">
        <v>33</v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97">
        <f>SUM(C91:N91)</f>
        <v>0</v>
      </c>
      <c r="P91" s="439" t="e">
        <f>+O91/$O$95</f>
        <v>#DIV/0!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2.75">
      <c r="A92" s="23"/>
      <c r="B92" s="394" t="s">
        <v>34</v>
      </c>
      <c r="C92" s="440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97">
        <f>SUM(C92:N92)</f>
        <v>0</v>
      </c>
      <c r="P92" s="439" t="e">
        <f>+O92/$O$96</f>
        <v>#DIV/0!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2.75">
      <c r="A93" s="23"/>
      <c r="B93" s="394"/>
      <c r="C93" s="440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97"/>
      <c r="P93" s="439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2.75">
      <c r="A94" s="23"/>
      <c r="B94" s="406" t="s">
        <v>45</v>
      </c>
      <c r="C94" s="440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97"/>
      <c r="P94" s="439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2.75">
      <c r="A95" s="23"/>
      <c r="B95" s="402" t="s">
        <v>33</v>
      </c>
      <c r="C95" s="414">
        <f aca="true" t="shared" si="10" ref="C95:P95">+C87+C91</f>
        <v>0</v>
      </c>
      <c r="D95" s="442">
        <f t="shared" si="10"/>
        <v>0</v>
      </c>
      <c r="E95" s="442">
        <f t="shared" si="10"/>
        <v>0</v>
      </c>
      <c r="F95" s="442">
        <f t="shared" si="10"/>
        <v>0</v>
      </c>
      <c r="G95" s="442">
        <f t="shared" si="10"/>
        <v>0</v>
      </c>
      <c r="H95" s="442">
        <f t="shared" si="10"/>
        <v>0</v>
      </c>
      <c r="I95" s="442">
        <f t="shared" si="10"/>
        <v>0</v>
      </c>
      <c r="J95" s="442">
        <f t="shared" si="10"/>
        <v>0</v>
      </c>
      <c r="K95" s="442">
        <f t="shared" si="10"/>
        <v>0</v>
      </c>
      <c r="L95" s="442">
        <f t="shared" si="10"/>
        <v>0</v>
      </c>
      <c r="M95" s="442">
        <f t="shared" si="10"/>
        <v>0</v>
      </c>
      <c r="N95" s="442">
        <f t="shared" si="10"/>
        <v>0</v>
      </c>
      <c r="O95" s="414">
        <f t="shared" si="10"/>
        <v>0</v>
      </c>
      <c r="P95" s="443" t="e">
        <f t="shared" si="10"/>
        <v>#DIV/0!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2.75">
      <c r="A96" s="23"/>
      <c r="B96" s="406" t="s">
        <v>34</v>
      </c>
      <c r="C96" s="414">
        <f aca="true" t="shared" si="11" ref="C96:P96">+C88+C92</f>
        <v>0</v>
      </c>
      <c r="D96" s="442">
        <f t="shared" si="11"/>
        <v>0</v>
      </c>
      <c r="E96" s="442">
        <f t="shared" si="11"/>
        <v>0</v>
      </c>
      <c r="F96" s="442">
        <f t="shared" si="11"/>
        <v>0</v>
      </c>
      <c r="G96" s="442">
        <f t="shared" si="11"/>
        <v>0</v>
      </c>
      <c r="H96" s="442">
        <f t="shared" si="11"/>
        <v>0</v>
      </c>
      <c r="I96" s="442">
        <f t="shared" si="11"/>
        <v>0</v>
      </c>
      <c r="J96" s="442">
        <f t="shared" si="11"/>
        <v>0</v>
      </c>
      <c r="K96" s="442">
        <f t="shared" si="11"/>
        <v>0</v>
      </c>
      <c r="L96" s="442">
        <f t="shared" si="11"/>
        <v>0</v>
      </c>
      <c r="M96" s="442">
        <f t="shared" si="11"/>
        <v>0</v>
      </c>
      <c r="N96" s="442">
        <f t="shared" si="11"/>
        <v>0</v>
      </c>
      <c r="O96" s="414">
        <f t="shared" si="11"/>
        <v>0</v>
      </c>
      <c r="P96" s="443" t="e">
        <f t="shared" si="11"/>
        <v>#DIV/0!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3.5" thickBot="1">
      <c r="A97" s="23"/>
      <c r="B97" s="2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16"/>
      <c r="P97" s="44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3.5" thickTop="1">
      <c r="A98" s="23"/>
      <c r="B98" s="1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1" t="s">
        <v>30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4">
      <pane xSplit="2" ySplit="1" topLeftCell="C7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99" sqref="I99"/>
    </sheetView>
  </sheetViews>
  <sheetFormatPr defaultColWidth="11.5546875" defaultRowHeight="15"/>
  <cols>
    <col min="1" max="1" width="0.9921875" style="387" customWidth="1"/>
    <col min="2" max="2" width="13.99609375" style="387" customWidth="1"/>
    <col min="3" max="3" width="8.4453125" style="387" customWidth="1"/>
    <col min="4" max="4" width="6.88671875" style="387" bestFit="1" customWidth="1"/>
    <col min="5" max="5" width="8.5546875" style="387" customWidth="1"/>
    <col min="6" max="6" width="6.88671875" style="387" bestFit="1" customWidth="1"/>
    <col min="7" max="7" width="7.6640625" style="387" bestFit="1" customWidth="1"/>
    <col min="8" max="8" width="7.77734375" style="387" customWidth="1"/>
    <col min="9" max="9" width="7.6640625" style="387" bestFit="1" customWidth="1"/>
    <col min="10" max="10" width="7.6640625" style="387" customWidth="1"/>
    <col min="11" max="11" width="8.6640625" style="387" customWidth="1"/>
    <col min="12" max="12" width="7.6640625" style="387" customWidth="1"/>
    <col min="13" max="13" width="9.10546875" style="387" customWidth="1"/>
    <col min="14" max="14" width="10.21484375" style="387" customWidth="1"/>
    <col min="15" max="15" width="8.6640625" style="387" customWidth="1"/>
    <col min="16" max="16" width="8.88671875" style="387" customWidth="1"/>
    <col min="17" max="16384" width="11.5546875" style="387" customWidth="1"/>
  </cols>
  <sheetData>
    <row r="1" spans="1:35" ht="12.75">
      <c r="A1" s="123"/>
      <c r="B1" s="23" t="s">
        <v>194</v>
      </c>
      <c r="C1" s="124" t="s">
        <v>195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3"/>
      <c r="P1" s="126"/>
      <c r="Q1" s="1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123"/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7"/>
      <c r="Q3" s="123"/>
      <c r="R3" s="23"/>
      <c r="S3" s="23"/>
      <c r="T3" s="4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4.2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23"/>
      <c r="S4" s="23"/>
      <c r="T4" s="425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97"/>
      <c r="S5" s="297"/>
      <c r="T5" s="297"/>
      <c r="U5" s="297"/>
      <c r="V5" s="426"/>
      <c r="W5" s="297"/>
      <c r="X5" s="297"/>
      <c r="Y5" s="297"/>
      <c r="Z5" s="297"/>
      <c r="AA5" s="297"/>
      <c r="AB5" s="426"/>
      <c r="AC5" s="297"/>
      <c r="AD5" s="297"/>
      <c r="AE5" s="297"/>
      <c r="AF5" s="297"/>
      <c r="AG5" s="297"/>
      <c r="AH5" s="297"/>
      <c r="AI5" s="297"/>
    </row>
    <row r="6" spans="1:35" s="388" customFormat="1" ht="12.75">
      <c r="A6" s="157"/>
      <c r="B6" s="157" t="s">
        <v>17</v>
      </c>
      <c r="C6" s="204">
        <v>219104</v>
      </c>
      <c r="D6" s="204">
        <v>184888</v>
      </c>
      <c r="E6" s="204">
        <v>229393</v>
      </c>
      <c r="F6" s="204">
        <v>179406</v>
      </c>
      <c r="G6" s="204">
        <v>194402</v>
      </c>
      <c r="H6" s="204">
        <v>166208</v>
      </c>
      <c r="I6" s="204">
        <v>127885</v>
      </c>
      <c r="J6" s="204">
        <v>86566</v>
      </c>
      <c r="K6" s="204">
        <v>59687</v>
      </c>
      <c r="L6" s="204">
        <v>165706</v>
      </c>
      <c r="M6" s="450">
        <v>193372</v>
      </c>
      <c r="N6" s="450">
        <v>236672</v>
      </c>
      <c r="O6" s="198">
        <f aca="true" t="shared" si="0" ref="O6:O14">SUM(C6:N6)</f>
        <v>2043289</v>
      </c>
      <c r="P6" s="452">
        <f aca="true" t="shared" si="1" ref="P6:P15">+O6/$O$19</f>
        <v>0.0918378528425436</v>
      </c>
      <c r="Q6" s="204"/>
      <c r="R6" s="297"/>
      <c r="S6" s="297"/>
      <c r="T6" s="328"/>
      <c r="U6" s="338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s="388" customFormat="1" ht="12.75">
      <c r="A7" s="157"/>
      <c r="B7" s="157" t="s">
        <v>18</v>
      </c>
      <c r="C7" s="204">
        <v>200890</v>
      </c>
      <c r="D7" s="204">
        <v>192311</v>
      </c>
      <c r="E7" s="204">
        <v>200136</v>
      </c>
      <c r="F7" s="204">
        <v>179915</v>
      </c>
      <c r="G7" s="204">
        <v>182999</v>
      </c>
      <c r="H7" s="204">
        <v>172295</v>
      </c>
      <c r="I7" s="204">
        <v>128627</v>
      </c>
      <c r="J7" s="204">
        <v>85725</v>
      </c>
      <c r="K7" s="204">
        <v>63824</v>
      </c>
      <c r="L7" s="204">
        <v>127014</v>
      </c>
      <c r="M7" s="450">
        <v>250696</v>
      </c>
      <c r="N7" s="450">
        <v>173398</v>
      </c>
      <c r="O7" s="198">
        <f t="shared" si="0"/>
        <v>1957830</v>
      </c>
      <c r="P7" s="452">
        <f t="shared" si="1"/>
        <v>0.08799680487230006</v>
      </c>
      <c r="Q7" s="204"/>
      <c r="R7" s="297"/>
      <c r="S7" s="297"/>
      <c r="T7" s="328"/>
      <c r="U7" s="338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</row>
    <row r="8" spans="1:35" s="388" customFormat="1" ht="12.75">
      <c r="A8" s="157"/>
      <c r="B8" s="157" t="s">
        <v>19</v>
      </c>
      <c r="C8" s="204">
        <v>178154</v>
      </c>
      <c r="D8" s="204">
        <v>201289</v>
      </c>
      <c r="E8" s="204">
        <v>227024</v>
      </c>
      <c r="F8" s="204">
        <v>198504</v>
      </c>
      <c r="G8" s="204">
        <v>195931</v>
      </c>
      <c r="H8" s="204">
        <v>168047</v>
      </c>
      <c r="I8" s="204">
        <v>162028</v>
      </c>
      <c r="J8" s="204">
        <v>98155</v>
      </c>
      <c r="K8" s="204">
        <v>89042</v>
      </c>
      <c r="L8" s="204">
        <v>120070</v>
      </c>
      <c r="M8" s="450">
        <v>197204</v>
      </c>
      <c r="N8" s="450">
        <v>175462</v>
      </c>
      <c r="O8" s="198">
        <f t="shared" si="0"/>
        <v>2010910</v>
      </c>
      <c r="P8" s="452">
        <f t="shared" si="1"/>
        <v>0.09038254336983136</v>
      </c>
      <c r="Q8" s="204"/>
      <c r="R8" s="297"/>
      <c r="S8" s="297"/>
      <c r="T8" s="328"/>
      <c r="U8" s="338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s="388" customFormat="1" ht="12.75">
      <c r="A9" s="157"/>
      <c r="B9" s="157" t="s">
        <v>20</v>
      </c>
      <c r="C9" s="204">
        <v>187293</v>
      </c>
      <c r="D9" s="204">
        <v>179122</v>
      </c>
      <c r="E9" s="204">
        <v>214745</v>
      </c>
      <c r="F9" s="204">
        <v>187809</v>
      </c>
      <c r="G9" s="204">
        <v>199701</v>
      </c>
      <c r="H9" s="204">
        <v>156885</v>
      </c>
      <c r="I9" s="204">
        <v>86173</v>
      </c>
      <c r="J9" s="204">
        <v>58752</v>
      </c>
      <c r="K9" s="204">
        <v>59126</v>
      </c>
      <c r="L9" s="204">
        <v>103673</v>
      </c>
      <c r="M9" s="450">
        <v>144680</v>
      </c>
      <c r="N9" s="450">
        <v>173294</v>
      </c>
      <c r="O9" s="198">
        <f t="shared" si="0"/>
        <v>1751253</v>
      </c>
      <c r="P9" s="452">
        <f t="shared" si="1"/>
        <v>0.07871197628140855</v>
      </c>
      <c r="Q9" s="204"/>
      <c r="R9" s="297"/>
      <c r="S9" s="297"/>
      <c r="T9" s="328"/>
      <c r="U9" s="33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s="388" customFormat="1" ht="12.75">
      <c r="A10" s="157"/>
      <c r="B10" s="157" t="s">
        <v>21</v>
      </c>
      <c r="C10" s="204">
        <v>366057</v>
      </c>
      <c r="D10" s="204">
        <v>301859</v>
      </c>
      <c r="E10" s="204">
        <v>386747</v>
      </c>
      <c r="F10" s="204">
        <v>326210</v>
      </c>
      <c r="G10" s="204">
        <v>350175</v>
      </c>
      <c r="H10" s="204">
        <v>286262</v>
      </c>
      <c r="I10" s="204">
        <v>170693</v>
      </c>
      <c r="J10" s="204">
        <v>88887</v>
      </c>
      <c r="K10" s="204">
        <v>152348</v>
      </c>
      <c r="L10" s="204">
        <v>297658</v>
      </c>
      <c r="M10" s="450">
        <v>320121</v>
      </c>
      <c r="N10" s="450">
        <v>320059</v>
      </c>
      <c r="O10" s="198">
        <f t="shared" si="0"/>
        <v>3367076</v>
      </c>
      <c r="P10" s="452">
        <f t="shared" si="1"/>
        <v>0.15133690349121456</v>
      </c>
      <c r="Q10" s="204"/>
      <c r="R10" s="297"/>
      <c r="S10" s="297"/>
      <c r="T10" s="328"/>
      <c r="U10" s="338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</row>
    <row r="11" spans="1:35" s="388" customFormat="1" ht="12.75">
      <c r="A11" s="157"/>
      <c r="B11" s="157" t="s">
        <v>22</v>
      </c>
      <c r="C11" s="204">
        <v>94136</v>
      </c>
      <c r="D11" s="204">
        <v>92827</v>
      </c>
      <c r="E11" s="204">
        <v>89488</v>
      </c>
      <c r="F11" s="204">
        <v>87427</v>
      </c>
      <c r="G11" s="204">
        <v>92711</v>
      </c>
      <c r="H11" s="204">
        <v>59943</v>
      </c>
      <c r="I11" s="204">
        <v>0</v>
      </c>
      <c r="J11" s="204">
        <v>0</v>
      </c>
      <c r="K11" s="204">
        <v>0</v>
      </c>
      <c r="L11" s="204">
        <v>0</v>
      </c>
      <c r="M11" s="450">
        <v>0</v>
      </c>
      <c r="N11" s="450">
        <v>36178</v>
      </c>
      <c r="O11" s="198">
        <f t="shared" si="0"/>
        <v>552710</v>
      </c>
      <c r="P11" s="452">
        <f t="shared" si="1"/>
        <v>0.024842153823860586</v>
      </c>
      <c r="Q11" s="204"/>
      <c r="R11" s="297"/>
      <c r="S11" s="297"/>
      <c r="T11" s="328"/>
      <c r="U11" s="338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1:35" s="388" customFormat="1" ht="12.75">
      <c r="A12" s="157"/>
      <c r="B12" s="157" t="s">
        <v>23</v>
      </c>
      <c r="C12" s="204">
        <v>183045</v>
      </c>
      <c r="D12" s="204">
        <v>191823</v>
      </c>
      <c r="E12" s="204">
        <v>217033</v>
      </c>
      <c r="F12" s="204">
        <v>178280</v>
      </c>
      <c r="G12" s="204">
        <v>186102</v>
      </c>
      <c r="H12" s="204">
        <v>174272</v>
      </c>
      <c r="I12" s="204">
        <v>120572</v>
      </c>
      <c r="J12" s="204">
        <v>97435</v>
      </c>
      <c r="K12" s="204">
        <v>97444</v>
      </c>
      <c r="L12" s="204">
        <v>194638</v>
      </c>
      <c r="M12" s="450">
        <v>214087</v>
      </c>
      <c r="N12" s="450">
        <v>182456</v>
      </c>
      <c r="O12" s="198">
        <f t="shared" si="0"/>
        <v>2037187</v>
      </c>
      <c r="P12" s="452">
        <f t="shared" si="1"/>
        <v>0.09156359179672717</v>
      </c>
      <c r="Q12" s="204"/>
      <c r="R12" s="297"/>
      <c r="S12" s="297"/>
      <c r="T12" s="328"/>
      <c r="U12" s="338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1:35" s="388" customFormat="1" ht="12.75">
      <c r="A13" s="157"/>
      <c r="B13" s="157" t="s">
        <v>24</v>
      </c>
      <c r="C13" s="204">
        <v>230830</v>
      </c>
      <c r="D13" s="204">
        <v>212000</v>
      </c>
      <c r="E13" s="204">
        <v>219294</v>
      </c>
      <c r="F13" s="204">
        <v>201832</v>
      </c>
      <c r="G13" s="204">
        <v>188030</v>
      </c>
      <c r="H13" s="204">
        <v>202009</v>
      </c>
      <c r="I13" s="204">
        <v>202372</v>
      </c>
      <c r="J13" s="204">
        <v>191017</v>
      </c>
      <c r="K13" s="204">
        <v>208130</v>
      </c>
      <c r="L13" s="204">
        <v>244797</v>
      </c>
      <c r="M13" s="450">
        <v>310031</v>
      </c>
      <c r="N13" s="450">
        <v>246094</v>
      </c>
      <c r="O13" s="198">
        <f t="shared" si="0"/>
        <v>2656436</v>
      </c>
      <c r="P13" s="452">
        <f t="shared" si="1"/>
        <v>0.11939641355365548</v>
      </c>
      <c r="Q13" s="204"/>
      <c r="R13" s="297"/>
      <c r="S13" s="297"/>
      <c r="T13" s="328"/>
      <c r="U13" s="338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</row>
    <row r="14" spans="1:35" s="388" customFormat="1" ht="12.75">
      <c r="A14" s="157"/>
      <c r="B14" s="157" t="s">
        <v>25</v>
      </c>
      <c r="C14" s="204">
        <v>245904</v>
      </c>
      <c r="D14" s="204">
        <v>219323</v>
      </c>
      <c r="E14" s="204">
        <v>248437</v>
      </c>
      <c r="F14" s="204">
        <v>216849</v>
      </c>
      <c r="G14" s="204">
        <v>204507</v>
      </c>
      <c r="H14" s="204">
        <v>167508</v>
      </c>
      <c r="I14" s="204">
        <v>94495</v>
      </c>
      <c r="J14" s="204">
        <v>34192</v>
      </c>
      <c r="K14" s="204">
        <v>28383</v>
      </c>
      <c r="L14" s="204">
        <v>118224</v>
      </c>
      <c r="M14" s="450">
        <v>223549</v>
      </c>
      <c r="N14" s="450">
        <v>216734</v>
      </c>
      <c r="O14" s="198">
        <f t="shared" si="0"/>
        <v>2018105</v>
      </c>
      <c r="P14" s="452">
        <f t="shared" si="1"/>
        <v>0.09070593049284827</v>
      </c>
      <c r="Q14" s="204"/>
      <c r="R14" s="297"/>
      <c r="S14" s="297"/>
      <c r="T14" s="328"/>
      <c r="U14" s="338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</row>
    <row r="15" spans="1:66" s="389" customFormat="1" ht="12.75">
      <c r="A15" s="200"/>
      <c r="B15" s="310" t="s">
        <v>26</v>
      </c>
      <c r="C15" s="311">
        <f aca="true" t="shared" si="2" ref="C15:O15">SUM(C6:C14)</f>
        <v>1905413</v>
      </c>
      <c r="D15" s="311">
        <f t="shared" si="2"/>
        <v>1775442</v>
      </c>
      <c r="E15" s="311">
        <f t="shared" si="2"/>
        <v>2032297</v>
      </c>
      <c r="F15" s="311">
        <f t="shared" si="2"/>
        <v>1756232</v>
      </c>
      <c r="G15" s="311">
        <f t="shared" si="2"/>
        <v>1794558</v>
      </c>
      <c r="H15" s="311">
        <f t="shared" si="2"/>
        <v>1553429</v>
      </c>
      <c r="I15" s="311">
        <f t="shared" si="2"/>
        <v>1092845</v>
      </c>
      <c r="J15" s="311">
        <f t="shared" si="2"/>
        <v>740729</v>
      </c>
      <c r="K15" s="311">
        <f t="shared" si="2"/>
        <v>757984</v>
      </c>
      <c r="L15" s="311">
        <f t="shared" si="2"/>
        <v>1371780</v>
      </c>
      <c r="M15" s="451">
        <f t="shared" si="2"/>
        <v>1853740</v>
      </c>
      <c r="N15" s="451">
        <f>SUM(N6:N14)</f>
        <v>1760347</v>
      </c>
      <c r="O15" s="311">
        <f t="shared" si="2"/>
        <v>18394796</v>
      </c>
      <c r="P15" s="453">
        <f t="shared" si="1"/>
        <v>0.8267741705243896</v>
      </c>
      <c r="Q15" s="313"/>
      <c r="R15" s="429"/>
      <c r="S15" s="429"/>
      <c r="T15" s="335"/>
      <c r="U15" s="430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66" s="389" customFormat="1" ht="12.7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313"/>
      <c r="R16" s="429"/>
      <c r="S16" s="429"/>
      <c r="T16" s="335"/>
      <c r="U16" s="430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1:35" s="388" customFormat="1" ht="12.75">
      <c r="A17" s="157"/>
      <c r="B17" s="157" t="s">
        <v>27</v>
      </c>
      <c r="C17" s="204">
        <v>398607</v>
      </c>
      <c r="D17" s="204">
        <v>401367</v>
      </c>
      <c r="E17" s="204">
        <v>510663</v>
      </c>
      <c r="F17" s="204">
        <v>451407</v>
      </c>
      <c r="G17" s="204">
        <v>447165</v>
      </c>
      <c r="H17" s="204">
        <v>365174</v>
      </c>
      <c r="I17" s="204">
        <v>174685</v>
      </c>
      <c r="J17" s="204">
        <v>126890</v>
      </c>
      <c r="K17" s="204">
        <v>115933</v>
      </c>
      <c r="L17" s="204">
        <v>223950</v>
      </c>
      <c r="M17" s="450">
        <v>361728</v>
      </c>
      <c r="N17" s="450">
        <v>276511</v>
      </c>
      <c r="O17" s="454">
        <f>SUM(C17:N17)</f>
        <v>3854080</v>
      </c>
      <c r="P17" s="308" t="e">
        <f>NA()</f>
        <v>#N/A</v>
      </c>
      <c r="Q17" s="204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</row>
    <row r="18" spans="1:35" s="388" customFormat="1" ht="12.75">
      <c r="A18" s="157"/>
      <c r="B18" s="157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8"/>
      <c r="P18" s="320"/>
      <c r="Q18" s="204"/>
      <c r="R18" s="297"/>
      <c r="S18" s="297"/>
      <c r="T18" s="328"/>
      <c r="U18" s="338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</row>
    <row r="19" spans="1:35" s="388" customFormat="1" ht="12.75">
      <c r="A19" s="157"/>
      <c r="B19" s="196" t="s">
        <v>28</v>
      </c>
      <c r="C19" s="321">
        <f>+C15+C17</f>
        <v>2304020</v>
      </c>
      <c r="D19" s="321">
        <f aca="true" t="shared" si="3" ref="D19:P19">+D15+D17</f>
        <v>2176809</v>
      </c>
      <c r="E19" s="321">
        <f t="shared" si="3"/>
        <v>2542960</v>
      </c>
      <c r="F19" s="321">
        <f t="shared" si="3"/>
        <v>2207639</v>
      </c>
      <c r="G19" s="321">
        <f t="shared" si="3"/>
        <v>2241723</v>
      </c>
      <c r="H19" s="321">
        <f t="shared" si="3"/>
        <v>1918603</v>
      </c>
      <c r="I19" s="321">
        <f t="shared" si="3"/>
        <v>1267530</v>
      </c>
      <c r="J19" s="321">
        <f t="shared" si="3"/>
        <v>867619</v>
      </c>
      <c r="K19" s="321">
        <f t="shared" si="3"/>
        <v>873917</v>
      </c>
      <c r="L19" s="321">
        <f t="shared" si="3"/>
        <v>1595730</v>
      </c>
      <c r="M19" s="321">
        <f t="shared" si="3"/>
        <v>2215468</v>
      </c>
      <c r="N19" s="321">
        <f t="shared" si="3"/>
        <v>2036858</v>
      </c>
      <c r="O19" s="321">
        <f t="shared" si="3"/>
        <v>22248876</v>
      </c>
      <c r="P19" s="321" t="e">
        <f t="shared" si="3"/>
        <v>#N/A</v>
      </c>
      <c r="Q19" s="204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</row>
    <row r="20" spans="1:35" s="388" customFormat="1" ht="12.75">
      <c r="A20" s="157"/>
      <c r="B20" s="197" t="s">
        <v>50</v>
      </c>
      <c r="C20" s="323">
        <f>C19</f>
        <v>2304020</v>
      </c>
      <c r="D20" s="323">
        <f>C20+D19</f>
        <v>4480829</v>
      </c>
      <c r="E20" s="323">
        <f>D20+E19</f>
        <v>7023789</v>
      </c>
      <c r="F20" s="323">
        <f aca="true" t="shared" si="4" ref="F20:O20">E20+F19</f>
        <v>9231428</v>
      </c>
      <c r="G20" s="323">
        <f t="shared" si="4"/>
        <v>11473151</v>
      </c>
      <c r="H20" s="323">
        <f t="shared" si="4"/>
        <v>13391754</v>
      </c>
      <c r="I20" s="323">
        <f t="shared" si="4"/>
        <v>14659284</v>
      </c>
      <c r="J20" s="323">
        <f t="shared" si="4"/>
        <v>15526903</v>
      </c>
      <c r="K20" s="323">
        <f t="shared" si="4"/>
        <v>16400820</v>
      </c>
      <c r="L20" s="323">
        <f t="shared" si="4"/>
        <v>17996550</v>
      </c>
      <c r="M20" s="323">
        <f t="shared" si="4"/>
        <v>20212018</v>
      </c>
      <c r="N20" s="323">
        <f t="shared" si="4"/>
        <v>22248876</v>
      </c>
      <c r="O20" s="323">
        <f t="shared" si="4"/>
        <v>44497752</v>
      </c>
      <c r="P20" s="322"/>
      <c r="Q20" s="204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</row>
    <row r="21" spans="1:35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</row>
    <row r="22" spans="1:35" ht="13.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122" t="s">
        <v>30</v>
      </c>
      <c r="B23" s="122"/>
      <c r="C23" s="123"/>
      <c r="D23" s="123"/>
      <c r="E23" s="123"/>
      <c r="F23" s="123"/>
      <c r="G23" s="123"/>
      <c r="H23" s="207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.7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.75">
      <c r="A25" s="123"/>
      <c r="B25" s="123"/>
      <c r="C25" s="124" t="s">
        <v>196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3"/>
      <c r="P25" s="159"/>
      <c r="Q25" s="122" t="s">
        <v>30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thickBot="1">
      <c r="A27" s="123"/>
      <c r="B27" s="127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7"/>
      <c r="Q27" s="1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388" customFormat="1" ht="13.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454">
        <f>SUM(C29:N29)</f>
        <v>0</v>
      </c>
      <c r="P29" s="452">
        <f aca="true" t="shared" si="5" ref="P29:P37">+O29/$O$49</f>
        <v>0</v>
      </c>
      <c r="Q29" s="204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</row>
    <row r="30" spans="1:35" s="388" customFormat="1" ht="12.75">
      <c r="A30" s="157"/>
      <c r="B30" s="157" t="s">
        <v>17</v>
      </c>
      <c r="C30" s="204">
        <v>1036081</v>
      </c>
      <c r="D30" s="204">
        <v>854602</v>
      </c>
      <c r="E30" s="204">
        <v>1092217</v>
      </c>
      <c r="F30" s="204">
        <v>817252</v>
      </c>
      <c r="G30" s="204">
        <v>890170</v>
      </c>
      <c r="H30" s="204">
        <v>750886</v>
      </c>
      <c r="I30" s="204">
        <v>539758</v>
      </c>
      <c r="J30" s="204">
        <v>319877</v>
      </c>
      <c r="K30" s="204">
        <v>241723</v>
      </c>
      <c r="L30" s="204">
        <v>750592</v>
      </c>
      <c r="M30" s="450">
        <v>896691</v>
      </c>
      <c r="N30" s="450">
        <v>1082945</v>
      </c>
      <c r="O30" s="454"/>
      <c r="P30" s="452">
        <f t="shared" si="5"/>
        <v>0</v>
      </c>
      <c r="Q30" s="204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388" customFormat="1" ht="12.75">
      <c r="A31" s="157"/>
      <c r="B31" s="157" t="s">
        <v>18</v>
      </c>
      <c r="C31" s="204">
        <v>866696</v>
      </c>
      <c r="D31" s="204">
        <v>839292</v>
      </c>
      <c r="E31" s="204">
        <v>879100</v>
      </c>
      <c r="F31" s="204">
        <v>784755</v>
      </c>
      <c r="G31" s="204">
        <v>791478</v>
      </c>
      <c r="H31" s="204">
        <v>716823</v>
      </c>
      <c r="I31" s="204">
        <v>492129</v>
      </c>
      <c r="J31" s="204">
        <v>305562</v>
      </c>
      <c r="K31" s="204">
        <v>241556</v>
      </c>
      <c r="L31" s="204">
        <v>522277</v>
      </c>
      <c r="M31" s="450">
        <v>1054569</v>
      </c>
      <c r="N31" s="450">
        <v>730052</v>
      </c>
      <c r="O31" s="454"/>
      <c r="P31" s="452">
        <f t="shared" si="5"/>
        <v>0</v>
      </c>
      <c r="Q31" s="204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</row>
    <row r="32" spans="1:35" s="388" customFormat="1" ht="12.75">
      <c r="A32" s="157"/>
      <c r="B32" s="157" t="s">
        <v>19</v>
      </c>
      <c r="C32" s="204">
        <v>730587</v>
      </c>
      <c r="D32" s="204">
        <v>850003</v>
      </c>
      <c r="E32" s="204">
        <v>945507</v>
      </c>
      <c r="F32" s="204">
        <v>891018</v>
      </c>
      <c r="G32" s="204">
        <v>852930</v>
      </c>
      <c r="H32" s="204">
        <v>695503</v>
      </c>
      <c r="I32" s="204">
        <v>476235</v>
      </c>
      <c r="J32" s="204">
        <v>353881</v>
      </c>
      <c r="K32" s="204">
        <v>337721</v>
      </c>
      <c r="L32" s="204">
        <v>473212</v>
      </c>
      <c r="M32" s="450">
        <v>800823</v>
      </c>
      <c r="N32" s="450">
        <v>721585</v>
      </c>
      <c r="O32" s="454"/>
      <c r="P32" s="452">
        <f t="shared" si="5"/>
        <v>0</v>
      </c>
      <c r="Q32" s="15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</row>
    <row r="33" spans="1:35" s="388" customFormat="1" ht="12.75">
      <c r="A33" s="157"/>
      <c r="B33" s="157" t="s">
        <v>105</v>
      </c>
      <c r="C33" s="204">
        <v>823935</v>
      </c>
      <c r="D33" s="204">
        <v>804354</v>
      </c>
      <c r="E33" s="204">
        <v>987229</v>
      </c>
      <c r="F33" s="204">
        <v>653135</v>
      </c>
      <c r="G33" s="204">
        <v>724414</v>
      </c>
      <c r="H33" s="204">
        <v>659749</v>
      </c>
      <c r="I33" s="204">
        <v>359639</v>
      </c>
      <c r="J33" s="204">
        <v>234903</v>
      </c>
      <c r="K33" s="204">
        <v>259534</v>
      </c>
      <c r="L33" s="204">
        <v>461623</v>
      </c>
      <c r="M33" s="450">
        <v>588333</v>
      </c>
      <c r="N33" s="450">
        <v>721283</v>
      </c>
      <c r="O33" s="454"/>
      <c r="P33" s="452">
        <f t="shared" si="5"/>
        <v>0</v>
      </c>
      <c r="Q33" s="204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</row>
    <row r="34" spans="1:35" s="388" customFormat="1" ht="12.75">
      <c r="A34" s="157"/>
      <c r="B34" s="157" t="s">
        <v>104</v>
      </c>
      <c r="C34" s="204">
        <v>369328</v>
      </c>
      <c r="D34" s="204">
        <v>411867</v>
      </c>
      <c r="E34" s="204">
        <v>450576</v>
      </c>
      <c r="F34" s="204">
        <v>440864</v>
      </c>
      <c r="G34" s="204">
        <v>375437</v>
      </c>
      <c r="H34" s="204">
        <v>385849</v>
      </c>
      <c r="I34" s="204">
        <v>221926</v>
      </c>
      <c r="J34" s="204">
        <v>181291</v>
      </c>
      <c r="K34" s="204">
        <v>188130</v>
      </c>
      <c r="L34" s="204">
        <v>250468</v>
      </c>
      <c r="M34" s="450">
        <v>371178</v>
      </c>
      <c r="N34" s="450">
        <v>319450</v>
      </c>
      <c r="O34" s="454"/>
      <c r="P34" s="452">
        <f t="shared" si="5"/>
        <v>0</v>
      </c>
      <c r="Q34" s="204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</row>
    <row r="35" spans="1:35" s="388" customFormat="1" ht="12.75">
      <c r="A35" s="157"/>
      <c r="B35" s="157" t="s">
        <v>21</v>
      </c>
      <c r="C35" s="204">
        <v>1657175</v>
      </c>
      <c r="D35" s="204">
        <v>1316443</v>
      </c>
      <c r="E35" s="204">
        <v>1690084</v>
      </c>
      <c r="F35" s="204">
        <v>1421113</v>
      </c>
      <c r="G35" s="204">
        <v>1495728</v>
      </c>
      <c r="H35" s="204">
        <v>1268056</v>
      </c>
      <c r="I35" s="204">
        <v>732040</v>
      </c>
      <c r="J35" s="204">
        <v>373988</v>
      </c>
      <c r="K35" s="204">
        <v>497688</v>
      </c>
      <c r="L35" s="204">
        <v>1223937</v>
      </c>
      <c r="M35" s="450">
        <v>1354924</v>
      </c>
      <c r="N35" s="450">
        <v>1352082</v>
      </c>
      <c r="O35" s="454"/>
      <c r="P35" s="452">
        <f t="shared" si="5"/>
        <v>0</v>
      </c>
      <c r="Q35" s="15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</row>
    <row r="36" spans="1:35" s="388" customFormat="1" ht="12.75">
      <c r="A36" s="157"/>
      <c r="B36" s="157" t="s">
        <v>22</v>
      </c>
      <c r="C36" s="204">
        <v>397608</v>
      </c>
      <c r="D36" s="204">
        <v>402710</v>
      </c>
      <c r="E36" s="204">
        <v>393969</v>
      </c>
      <c r="F36" s="204">
        <v>389072</v>
      </c>
      <c r="G36" s="204">
        <v>408959</v>
      </c>
      <c r="H36" s="204">
        <v>250849</v>
      </c>
      <c r="I36" s="204">
        <v>226223</v>
      </c>
      <c r="J36" s="204">
        <v>180594</v>
      </c>
      <c r="K36" s="204">
        <v>204872</v>
      </c>
      <c r="L36" s="204">
        <v>308850</v>
      </c>
      <c r="M36" s="450">
        <v>411272</v>
      </c>
      <c r="N36" s="450">
        <v>366566</v>
      </c>
      <c r="O36" s="454"/>
      <c r="P36" s="452">
        <f t="shared" si="5"/>
        <v>0</v>
      </c>
      <c r="Q36" s="15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</row>
    <row r="37" spans="1:35" s="388" customFormat="1" ht="12.75">
      <c r="A37" s="157"/>
      <c r="B37" s="157" t="s">
        <v>24</v>
      </c>
      <c r="C37" s="204">
        <v>923658</v>
      </c>
      <c r="D37" s="204">
        <v>878887</v>
      </c>
      <c r="E37" s="204">
        <v>924719</v>
      </c>
      <c r="F37" s="204">
        <v>867975</v>
      </c>
      <c r="G37" s="204">
        <v>803774</v>
      </c>
      <c r="H37" s="204">
        <v>815535</v>
      </c>
      <c r="I37" s="204">
        <v>551228</v>
      </c>
      <c r="J37" s="204">
        <v>521894</v>
      </c>
      <c r="K37" s="204">
        <v>593027</v>
      </c>
      <c r="L37" s="204">
        <v>647143</v>
      </c>
      <c r="M37" s="450">
        <v>813212</v>
      </c>
      <c r="N37" s="450">
        <v>1006772</v>
      </c>
      <c r="O37" s="454"/>
      <c r="P37" s="452">
        <f t="shared" si="5"/>
        <v>0</v>
      </c>
      <c r="Q37" s="204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3:14" ht="12.75">
      <c r="M38" s="204"/>
      <c r="N38" s="204"/>
    </row>
    <row r="39" spans="1:35" s="388" customFormat="1" ht="12.75">
      <c r="A39" s="157"/>
      <c r="B39" s="157" t="s">
        <v>25</v>
      </c>
      <c r="C39" s="204">
        <v>1104079</v>
      </c>
      <c r="D39" s="204">
        <v>949148</v>
      </c>
      <c r="E39" s="204">
        <v>1117967</v>
      </c>
      <c r="F39" s="204">
        <v>975822</v>
      </c>
      <c r="G39" s="204">
        <v>976208</v>
      </c>
      <c r="H39" s="204">
        <v>737037</v>
      </c>
      <c r="I39" s="204">
        <v>361581</v>
      </c>
      <c r="J39" s="204">
        <v>153864</v>
      </c>
      <c r="K39" s="204">
        <v>122186</v>
      </c>
      <c r="L39" s="204">
        <v>520188</v>
      </c>
      <c r="M39" s="450">
        <v>983618</v>
      </c>
      <c r="N39" s="450">
        <v>975303</v>
      </c>
      <c r="O39" s="198"/>
      <c r="P39" s="308">
        <f>+O39/$O$49</f>
        <v>0</v>
      </c>
      <c r="Q39" s="204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s="388" customFormat="1" ht="12.75">
      <c r="A40" s="157"/>
      <c r="B40" s="346" t="s">
        <v>26</v>
      </c>
      <c r="C40" s="198">
        <f aca="true" t="shared" si="6" ref="C40:L40">SUM(C29:C39)</f>
        <v>7909147</v>
      </c>
      <c r="D40" s="198">
        <f t="shared" si="6"/>
        <v>7307306</v>
      </c>
      <c r="E40" s="198">
        <f t="shared" si="6"/>
        <v>8481368</v>
      </c>
      <c r="F40" s="198">
        <f t="shared" si="6"/>
        <v>7241006</v>
      </c>
      <c r="G40" s="198">
        <f t="shared" si="6"/>
        <v>7319098</v>
      </c>
      <c r="H40" s="198">
        <f t="shared" si="6"/>
        <v>6280287</v>
      </c>
      <c r="I40" s="198">
        <f t="shared" si="6"/>
        <v>3960759</v>
      </c>
      <c r="J40" s="198">
        <f t="shared" si="6"/>
        <v>2625854</v>
      </c>
      <c r="K40" s="198">
        <f t="shared" si="6"/>
        <v>2686437</v>
      </c>
      <c r="L40" s="198">
        <f t="shared" si="6"/>
        <v>5158290</v>
      </c>
      <c r="M40" s="454">
        <f>SUM(M29:M39)</f>
        <v>7274620</v>
      </c>
      <c r="N40" s="454">
        <f>SUM(N29:N39)</f>
        <v>7276038</v>
      </c>
      <c r="O40" s="198">
        <f>SUM(O30:O39)</f>
        <v>0</v>
      </c>
      <c r="P40" s="308">
        <f>+O40/$O$49</f>
        <v>0</v>
      </c>
      <c r="Q40" s="204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</row>
    <row r="41" spans="1:35" s="388" customFormat="1" ht="12.75">
      <c r="A41" s="157"/>
      <c r="B41" s="346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308"/>
      <c r="Q41" s="204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 s="388" customFormat="1" ht="12.75">
      <c r="A42" s="157"/>
      <c r="B42" s="346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308"/>
      <c r="Q42" s="204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 s="388" customFormat="1" ht="12.75">
      <c r="A43" s="157"/>
      <c r="B43" s="157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  <c r="P43" s="320"/>
      <c r="Q43" s="204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</row>
    <row r="44" spans="1:35" s="388" customFormat="1" ht="12.75">
      <c r="A44" s="157"/>
      <c r="B44" s="157" t="s">
        <v>27</v>
      </c>
      <c r="C44" s="204">
        <v>1403150</v>
      </c>
      <c r="D44" s="204">
        <v>1341949</v>
      </c>
      <c r="E44" s="204">
        <v>1769727</v>
      </c>
      <c r="F44" s="204">
        <v>1560270</v>
      </c>
      <c r="G44" s="204">
        <v>1541609</v>
      </c>
      <c r="H44" s="204">
        <v>1108357</v>
      </c>
      <c r="I44" s="204">
        <v>440431</v>
      </c>
      <c r="J44" s="204">
        <v>279701</v>
      </c>
      <c r="K44" s="204">
        <v>252609</v>
      </c>
      <c r="L44" s="204">
        <v>641126</v>
      </c>
      <c r="M44" s="450">
        <v>1072678</v>
      </c>
      <c r="N44" s="450">
        <v>813645</v>
      </c>
      <c r="O44" s="198">
        <f>SUM(C44:N44)</f>
        <v>12225252</v>
      </c>
      <c r="P44" s="308">
        <f>+O44/$O$49</f>
        <v>0.5907182749391162</v>
      </c>
      <c r="Q44" s="204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 s="388" customFormat="1" ht="12.75">
      <c r="A45" s="157"/>
      <c r="B45" s="157" t="s">
        <v>57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450">
        <v>0</v>
      </c>
      <c r="N45" s="450">
        <v>0</v>
      </c>
      <c r="O45" s="198">
        <f>SUM(C45:N45)</f>
        <v>0</v>
      </c>
      <c r="P45" s="308">
        <f>+O45/$O$49</f>
        <v>0</v>
      </c>
      <c r="Q45" s="204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</row>
    <row r="46" spans="1:35" s="388" customFormat="1" ht="12.75">
      <c r="A46" s="157"/>
      <c r="B46" s="157" t="s">
        <v>106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450">
        <v>0</v>
      </c>
      <c r="N46" s="450">
        <v>0</v>
      </c>
      <c r="O46" s="198">
        <f>SUM(C46:N46)</f>
        <v>0</v>
      </c>
      <c r="P46" s="308">
        <f>+O46/$O$49</f>
        <v>0</v>
      </c>
      <c r="Q46" s="15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 s="388" customFormat="1" ht="12.75">
      <c r="A47" s="157"/>
      <c r="B47" s="157" t="s">
        <v>107</v>
      </c>
      <c r="C47" s="204">
        <v>796375</v>
      </c>
      <c r="D47" s="204">
        <v>813519</v>
      </c>
      <c r="E47" s="204">
        <v>910174</v>
      </c>
      <c r="F47" s="204">
        <v>759898</v>
      </c>
      <c r="G47" s="204">
        <v>793259</v>
      </c>
      <c r="H47" s="204">
        <v>712019</v>
      </c>
      <c r="I47" s="204">
        <v>443429</v>
      </c>
      <c r="J47" s="204">
        <v>347833</v>
      </c>
      <c r="K47" s="204">
        <v>377542</v>
      </c>
      <c r="L47" s="204">
        <v>818601</v>
      </c>
      <c r="M47" s="450">
        <v>911202</v>
      </c>
      <c r="N47" s="450">
        <v>786468</v>
      </c>
      <c r="O47" s="198">
        <f>SUM(C47:N47)</f>
        <v>8470319</v>
      </c>
      <c r="P47" s="308">
        <f>+O47/$O$49</f>
        <v>0.4092817250608838</v>
      </c>
      <c r="Q47" s="15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 s="388" customFormat="1" ht="12.7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320"/>
      <c r="Q48" s="204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</row>
    <row r="49" spans="1:35" s="388" customFormat="1" ht="12.75">
      <c r="A49" s="157"/>
      <c r="B49" s="196" t="s">
        <v>28</v>
      </c>
      <c r="C49" s="321">
        <f aca="true" t="shared" si="7" ref="C49:O49">+C40+C44+C45+C46+C47</f>
        <v>10108672</v>
      </c>
      <c r="D49" s="321">
        <f t="shared" si="7"/>
        <v>9462774</v>
      </c>
      <c r="E49" s="321">
        <f t="shared" si="7"/>
        <v>11161269</v>
      </c>
      <c r="F49" s="321">
        <f t="shared" si="7"/>
        <v>9561174</v>
      </c>
      <c r="G49" s="321">
        <f t="shared" si="7"/>
        <v>9653966</v>
      </c>
      <c r="H49" s="321">
        <f t="shared" si="7"/>
        <v>8100663</v>
      </c>
      <c r="I49" s="321">
        <f t="shared" si="7"/>
        <v>4844619</v>
      </c>
      <c r="J49" s="321">
        <f t="shared" si="7"/>
        <v>3253388</v>
      </c>
      <c r="K49" s="321">
        <f t="shared" si="7"/>
        <v>3316588</v>
      </c>
      <c r="L49" s="321">
        <f t="shared" si="7"/>
        <v>6618017</v>
      </c>
      <c r="M49" s="321">
        <f t="shared" si="7"/>
        <v>9258500</v>
      </c>
      <c r="N49" s="321">
        <f t="shared" si="7"/>
        <v>8876151</v>
      </c>
      <c r="O49" s="321">
        <f t="shared" si="7"/>
        <v>20695571</v>
      </c>
      <c r="P49" s="322">
        <f>+P40+P44+P45</f>
        <v>0.5907182749391162</v>
      </c>
      <c r="Q49" s="204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 s="388" customFormat="1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</row>
    <row r="51" spans="1:35" s="388" customFormat="1" ht="12.75">
      <c r="A51" s="157"/>
      <c r="B51" s="201">
        <f ca="1">NOW()</f>
        <v>40948.65149502315</v>
      </c>
      <c r="C51" s="202" t="s">
        <v>58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 s="388" customFormat="1" ht="12.75">
      <c r="A52" s="157"/>
      <c r="B52" s="201"/>
      <c r="C52" s="202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 s="388" customFormat="1" ht="12.75">
      <c r="A53" s="157"/>
      <c r="B53" s="201"/>
      <c r="C53" s="202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 ht="12.7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.7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.7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.75">
      <c r="A65" s="23" t="s">
        <v>46</v>
      </c>
      <c r="B65" s="23"/>
      <c r="C65" s="286" t="s">
        <v>47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3"/>
      <c r="P65" s="300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.75">
      <c r="A66" s="23"/>
      <c r="B66" s="23"/>
      <c r="C66" s="287" t="s">
        <v>2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thickBot="1">
      <c r="A67" s="23"/>
      <c r="B67" s="289"/>
      <c r="C67" s="290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>
        <v>1998</v>
      </c>
      <c r="P67" s="289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thickBot="1" thickTop="1">
      <c r="A68" s="23"/>
      <c r="B68" s="293"/>
      <c r="C68" s="294" t="s">
        <v>3</v>
      </c>
      <c r="D68" s="295" t="s">
        <v>4</v>
      </c>
      <c r="E68" s="295" t="s">
        <v>5</v>
      </c>
      <c r="F68" s="295" t="s">
        <v>6</v>
      </c>
      <c r="G68" s="295" t="s">
        <v>7</v>
      </c>
      <c r="H68" s="295" t="s">
        <v>8</v>
      </c>
      <c r="I68" s="295" t="s">
        <v>9</v>
      </c>
      <c r="J68" s="295" t="s">
        <v>10</v>
      </c>
      <c r="K68" s="296" t="s">
        <v>11</v>
      </c>
      <c r="L68" s="295" t="s">
        <v>12</v>
      </c>
      <c r="M68" s="295" t="s">
        <v>13</v>
      </c>
      <c r="N68" s="295" t="s">
        <v>14</v>
      </c>
      <c r="O68" s="301" t="s">
        <v>15</v>
      </c>
      <c r="P68" s="302" t="s">
        <v>16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3.5" thickTop="1">
      <c r="A69" s="23"/>
      <c r="B69" s="392"/>
      <c r="C69" s="393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3"/>
      <c r="P69" s="436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394" t="s">
        <v>42</v>
      </c>
      <c r="C70" s="437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97"/>
      <c r="P70" s="439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398" t="s">
        <v>33</v>
      </c>
      <c r="C71" s="440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397">
        <f>SUM(C71:N71)</f>
        <v>0</v>
      </c>
      <c r="P71" s="439" t="e">
        <f>+O71/$O$95</f>
        <v>#DIV/0!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2.75">
      <c r="A72" s="23"/>
      <c r="B72" s="394" t="s">
        <v>34</v>
      </c>
      <c r="C72" s="440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397">
        <f>SUM(C72:N72)</f>
        <v>0</v>
      </c>
      <c r="P72" s="439" t="e">
        <f>+O72/$O$96</f>
        <v>#DIV/0!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2.75">
      <c r="A73" s="23"/>
      <c r="B73" s="398"/>
      <c r="C73" s="440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397"/>
      <c r="P73" s="439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2.75">
      <c r="A74" s="23"/>
      <c r="B74" s="398" t="s">
        <v>43</v>
      </c>
      <c r="C74" s="440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397"/>
      <c r="P74" s="439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2.75">
      <c r="A75" s="23"/>
      <c r="B75" s="398" t="s">
        <v>33</v>
      </c>
      <c r="C75" s="440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397">
        <f>SUM(C75:N75)</f>
        <v>0</v>
      </c>
      <c r="P75" s="439" t="e">
        <f>+O75/$O$95</f>
        <v>#DIV/0!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2.75">
      <c r="A76" s="23"/>
      <c r="B76" s="394" t="s">
        <v>34</v>
      </c>
      <c r="C76" s="440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397">
        <f>SUM(C76:N76)</f>
        <v>0</v>
      </c>
      <c r="P76" s="439" t="e">
        <f>+O76/$O$96</f>
        <v>#DIV/0!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2.75">
      <c r="A77" s="23"/>
      <c r="B77" s="398"/>
      <c r="C77" s="440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397"/>
      <c r="P77" s="439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2.75">
      <c r="A78" s="23"/>
      <c r="B78" s="394" t="s">
        <v>32</v>
      </c>
      <c r="C78" s="440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397"/>
      <c r="P78" s="4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2.75">
      <c r="A79" s="23"/>
      <c r="B79" s="398" t="s">
        <v>33</v>
      </c>
      <c r="C79" s="440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397">
        <f>SUM(C79:N79)</f>
        <v>0</v>
      </c>
      <c r="P79" s="439" t="e">
        <f>+O79/$O$95</f>
        <v>#DIV/0!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2.75">
      <c r="A80" s="23"/>
      <c r="B80" s="394" t="s">
        <v>34</v>
      </c>
      <c r="C80" s="440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97">
        <f>SUM(C80:N80)</f>
        <v>0</v>
      </c>
      <c r="P80" s="439" t="e">
        <f>+O80/$O$96</f>
        <v>#DIV/0!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2.75">
      <c r="A81" s="23"/>
      <c r="B81" s="398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397"/>
      <c r="P81" s="439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2.75">
      <c r="A82" s="23"/>
      <c r="B82" s="394" t="s">
        <v>44</v>
      </c>
      <c r="C82" s="440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397"/>
      <c r="P82" s="4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2.75">
      <c r="A83" s="23"/>
      <c r="B83" s="398" t="s">
        <v>33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397">
        <f>SUM(C83:N83)</f>
        <v>0</v>
      </c>
      <c r="P83" s="439" t="e">
        <f>+O83/$O$95</f>
        <v>#DIV/0!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2.75">
      <c r="A84" s="23"/>
      <c r="B84" s="394" t="s">
        <v>34</v>
      </c>
      <c r="C84" s="440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397">
        <f>SUM(C84:N84)</f>
        <v>0</v>
      </c>
      <c r="P84" s="439" t="e">
        <f>+O84/$O$96</f>
        <v>#DIV/0!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2.75">
      <c r="A85" s="23"/>
      <c r="B85" s="398"/>
      <c r="C85" s="440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397"/>
      <c r="P85" s="439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2.75">
      <c r="A86" s="23"/>
      <c r="B86" s="400" t="s">
        <v>28</v>
      </c>
      <c r="C86" s="440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97"/>
      <c r="P86" s="43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2.75">
      <c r="A87" s="23"/>
      <c r="B87" s="402" t="s">
        <v>33</v>
      </c>
      <c r="C87" s="414">
        <f aca="true" t="shared" si="8" ref="C87:N87">+C71+C75+C79+C83</f>
        <v>0</v>
      </c>
      <c r="D87" s="442">
        <f t="shared" si="8"/>
        <v>0</v>
      </c>
      <c r="E87" s="442">
        <f t="shared" si="8"/>
        <v>0</v>
      </c>
      <c r="F87" s="442">
        <f t="shared" si="8"/>
        <v>0</v>
      </c>
      <c r="G87" s="442">
        <f t="shared" si="8"/>
        <v>0</v>
      </c>
      <c r="H87" s="442">
        <f t="shared" si="8"/>
        <v>0</v>
      </c>
      <c r="I87" s="442">
        <f t="shared" si="8"/>
        <v>0</v>
      </c>
      <c r="J87" s="442">
        <f t="shared" si="8"/>
        <v>0</v>
      </c>
      <c r="K87" s="442">
        <f t="shared" si="8"/>
        <v>0</v>
      </c>
      <c r="L87" s="442">
        <f t="shared" si="8"/>
        <v>0</v>
      </c>
      <c r="M87" s="442">
        <f t="shared" si="8"/>
        <v>0</v>
      </c>
      <c r="N87" s="442">
        <f t="shared" si="8"/>
        <v>0</v>
      </c>
      <c r="O87" s="405">
        <f>SUM(C87:N87)</f>
        <v>0</v>
      </c>
      <c r="P87" s="443" t="e">
        <f>+P71+P75+P79+P83</f>
        <v>#DIV/0!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2.75">
      <c r="A88" s="23"/>
      <c r="B88" s="406" t="s">
        <v>34</v>
      </c>
      <c r="C88" s="414">
        <f aca="true" t="shared" si="9" ref="C88:N88">+C72+C76+C80+C84</f>
        <v>0</v>
      </c>
      <c r="D88" s="442">
        <f t="shared" si="9"/>
        <v>0</v>
      </c>
      <c r="E88" s="442">
        <f t="shared" si="9"/>
        <v>0</v>
      </c>
      <c r="F88" s="442">
        <f t="shared" si="9"/>
        <v>0</v>
      </c>
      <c r="G88" s="442">
        <f t="shared" si="9"/>
        <v>0</v>
      </c>
      <c r="H88" s="442">
        <f t="shared" si="9"/>
        <v>0</v>
      </c>
      <c r="I88" s="442">
        <f t="shared" si="9"/>
        <v>0</v>
      </c>
      <c r="J88" s="442">
        <f t="shared" si="9"/>
        <v>0</v>
      </c>
      <c r="K88" s="442">
        <f t="shared" si="9"/>
        <v>0</v>
      </c>
      <c r="L88" s="442">
        <f t="shared" si="9"/>
        <v>0</v>
      </c>
      <c r="M88" s="442">
        <f t="shared" si="9"/>
        <v>0</v>
      </c>
      <c r="N88" s="442">
        <f t="shared" si="9"/>
        <v>0</v>
      </c>
      <c r="O88" s="405">
        <f>SUM(C88:N88)</f>
        <v>0</v>
      </c>
      <c r="P88" s="443" t="e">
        <f>+P72+P76+P80+P84</f>
        <v>#DIV/0!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2.75">
      <c r="A89" s="23"/>
      <c r="B89" s="408"/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10"/>
      <c r="P89" s="446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2.75">
      <c r="A90" s="23"/>
      <c r="B90" s="411" t="s">
        <v>27</v>
      </c>
      <c r="C90" s="440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97"/>
      <c r="P90" s="4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2.75">
      <c r="A91" s="23"/>
      <c r="B91" s="398" t="s">
        <v>33</v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97">
        <f>SUM(C91:N91)</f>
        <v>0</v>
      </c>
      <c r="P91" s="439" t="e">
        <f>+O91/$O$95</f>
        <v>#DIV/0!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2.75">
      <c r="A92" s="23"/>
      <c r="B92" s="394" t="s">
        <v>34</v>
      </c>
      <c r="C92" s="440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97">
        <f>SUM(C92:N92)</f>
        <v>0</v>
      </c>
      <c r="P92" s="439" t="e">
        <f>+O92/$O$96</f>
        <v>#DIV/0!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2.75">
      <c r="A93" s="23"/>
      <c r="B93" s="394"/>
      <c r="C93" s="440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97"/>
      <c r="P93" s="439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2.75">
      <c r="A94" s="23"/>
      <c r="B94" s="406" t="s">
        <v>45</v>
      </c>
      <c r="C94" s="440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97"/>
      <c r="P94" s="439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2.75">
      <c r="A95" s="23"/>
      <c r="B95" s="402" t="s">
        <v>33</v>
      </c>
      <c r="C95" s="414">
        <f aca="true" t="shared" si="10" ref="C95:P95">+C87+C91</f>
        <v>0</v>
      </c>
      <c r="D95" s="442">
        <f t="shared" si="10"/>
        <v>0</v>
      </c>
      <c r="E95" s="442">
        <f t="shared" si="10"/>
        <v>0</v>
      </c>
      <c r="F95" s="442">
        <f t="shared" si="10"/>
        <v>0</v>
      </c>
      <c r="G95" s="442">
        <f t="shared" si="10"/>
        <v>0</v>
      </c>
      <c r="H95" s="442">
        <f t="shared" si="10"/>
        <v>0</v>
      </c>
      <c r="I95" s="442">
        <f t="shared" si="10"/>
        <v>0</v>
      </c>
      <c r="J95" s="442">
        <f t="shared" si="10"/>
        <v>0</v>
      </c>
      <c r="K95" s="442">
        <f t="shared" si="10"/>
        <v>0</v>
      </c>
      <c r="L95" s="442">
        <f t="shared" si="10"/>
        <v>0</v>
      </c>
      <c r="M95" s="442">
        <f t="shared" si="10"/>
        <v>0</v>
      </c>
      <c r="N95" s="442">
        <f t="shared" si="10"/>
        <v>0</v>
      </c>
      <c r="O95" s="414">
        <f t="shared" si="10"/>
        <v>0</v>
      </c>
      <c r="P95" s="443" t="e">
        <f t="shared" si="10"/>
        <v>#DIV/0!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2.75">
      <c r="A96" s="23"/>
      <c r="B96" s="406" t="s">
        <v>34</v>
      </c>
      <c r="C96" s="414">
        <f aca="true" t="shared" si="11" ref="C96:P96">+C88+C92</f>
        <v>0</v>
      </c>
      <c r="D96" s="442">
        <f t="shared" si="11"/>
        <v>0</v>
      </c>
      <c r="E96" s="442">
        <f t="shared" si="11"/>
        <v>0</v>
      </c>
      <c r="F96" s="442">
        <f t="shared" si="11"/>
        <v>0</v>
      </c>
      <c r="G96" s="442">
        <f t="shared" si="11"/>
        <v>0</v>
      </c>
      <c r="H96" s="442">
        <f t="shared" si="11"/>
        <v>0</v>
      </c>
      <c r="I96" s="442">
        <f t="shared" si="11"/>
        <v>0</v>
      </c>
      <c r="J96" s="442">
        <f t="shared" si="11"/>
        <v>0</v>
      </c>
      <c r="K96" s="442">
        <f t="shared" si="11"/>
        <v>0</v>
      </c>
      <c r="L96" s="442">
        <f t="shared" si="11"/>
        <v>0</v>
      </c>
      <c r="M96" s="442">
        <f t="shared" si="11"/>
        <v>0</v>
      </c>
      <c r="N96" s="442">
        <f t="shared" si="11"/>
        <v>0</v>
      </c>
      <c r="O96" s="414">
        <f t="shared" si="11"/>
        <v>0</v>
      </c>
      <c r="P96" s="443" t="e">
        <f t="shared" si="11"/>
        <v>#DIV/0!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3.5" thickBot="1">
      <c r="A97" s="23"/>
      <c r="B97" s="2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16"/>
      <c r="P97" s="44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3.5" thickTop="1">
      <c r="A98" s="23"/>
      <c r="B98" s="1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1" t="s">
        <v>30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99"/>
  <sheetViews>
    <sheetView zoomScalePageLayoutView="0" workbookViewId="0" topLeftCell="A40">
      <selection activeCell="C17" sqref="C17"/>
    </sheetView>
  </sheetViews>
  <sheetFormatPr defaultColWidth="11.5546875" defaultRowHeight="15"/>
  <cols>
    <col min="1" max="1" width="0.9921875" style="387" customWidth="1"/>
    <col min="2" max="2" width="13.99609375" style="387" customWidth="1"/>
    <col min="3" max="3" width="6.99609375" style="387" customWidth="1"/>
    <col min="4" max="6" width="6.88671875" style="387" bestFit="1" customWidth="1"/>
    <col min="7" max="7" width="6.6640625" style="387" customWidth="1"/>
    <col min="8" max="8" width="7.77734375" style="387" customWidth="1"/>
    <col min="9" max="9" width="7.6640625" style="387" bestFit="1" customWidth="1"/>
    <col min="10" max="10" width="7.6640625" style="387" customWidth="1"/>
    <col min="11" max="11" width="8.6640625" style="387" customWidth="1"/>
    <col min="12" max="12" width="7.6640625" style="387" customWidth="1"/>
    <col min="13" max="13" width="9.10546875" style="387" customWidth="1"/>
    <col min="14" max="14" width="10.21484375" style="387" customWidth="1"/>
    <col min="15" max="15" width="8.6640625" style="387" customWidth="1"/>
    <col min="16" max="16" width="8.88671875" style="387" customWidth="1"/>
    <col min="17" max="16384" width="11.5546875" style="387" customWidth="1"/>
  </cols>
  <sheetData>
    <row r="1" spans="1:35" ht="12.75">
      <c r="A1" s="123"/>
      <c r="B1" s="23" t="s">
        <v>192</v>
      </c>
      <c r="C1" s="124" t="s">
        <v>193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20"/>
      <c r="P1" s="421"/>
      <c r="Q1" s="420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.75">
      <c r="A2" s="123"/>
      <c r="B2" s="123"/>
      <c r="C2" s="125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3"/>
      <c r="P2" s="123"/>
      <c r="Q2" s="1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3.5" thickBot="1">
      <c r="A3" s="123"/>
      <c r="B3" s="127"/>
      <c r="C3" s="128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390"/>
      <c r="P3" s="423"/>
      <c r="Q3" s="420"/>
      <c r="R3" s="23"/>
      <c r="S3" s="23"/>
      <c r="T3" s="4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4.25" thickBot="1" thickTop="1">
      <c r="A4" s="123"/>
      <c r="B4" s="104"/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7" t="s">
        <v>11</v>
      </c>
      <c r="L4" s="107" t="s">
        <v>12</v>
      </c>
      <c r="M4" s="107" t="s">
        <v>13</v>
      </c>
      <c r="N4" s="107" t="s">
        <v>14</v>
      </c>
      <c r="O4" s="107" t="s">
        <v>15</v>
      </c>
      <c r="P4" s="107" t="s">
        <v>16</v>
      </c>
      <c r="Q4" s="123"/>
      <c r="R4" s="23"/>
      <c r="S4" s="23"/>
      <c r="T4" s="425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388" customFormat="1" ht="13.5" thickTop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97"/>
      <c r="S5" s="297"/>
      <c r="T5" s="297"/>
      <c r="U5" s="297"/>
      <c r="V5" s="426"/>
      <c r="W5" s="297"/>
      <c r="X5" s="297"/>
      <c r="Y5" s="297"/>
      <c r="Z5" s="297"/>
      <c r="AA5" s="297"/>
      <c r="AB5" s="426"/>
      <c r="AC5" s="297"/>
      <c r="AD5" s="297"/>
      <c r="AE5" s="297"/>
      <c r="AF5" s="297"/>
      <c r="AG5" s="297"/>
      <c r="AH5" s="297"/>
      <c r="AI5" s="297"/>
    </row>
    <row r="6" spans="1:35" s="388" customFormat="1" ht="12.75">
      <c r="A6" s="157"/>
      <c r="B6" s="157" t="s">
        <v>17</v>
      </c>
      <c r="C6" s="204">
        <v>143024</v>
      </c>
      <c r="D6" s="204">
        <v>140678</v>
      </c>
      <c r="E6" s="204">
        <v>186269</v>
      </c>
      <c r="F6" s="204">
        <v>182688</v>
      </c>
      <c r="G6" s="204">
        <v>176215</v>
      </c>
      <c r="H6" s="204">
        <v>174932</v>
      </c>
      <c r="I6" s="204">
        <v>153699</v>
      </c>
      <c r="J6" s="204">
        <v>93753</v>
      </c>
      <c r="K6" s="204">
        <v>80130</v>
      </c>
      <c r="L6" s="204">
        <v>177986</v>
      </c>
      <c r="M6" s="204">
        <v>196257</v>
      </c>
      <c r="N6" s="204">
        <v>197634</v>
      </c>
      <c r="O6" s="198">
        <f aca="true" t="shared" si="0" ref="O6:O14">SUM(C6:N6)</f>
        <v>1903265</v>
      </c>
      <c r="P6" s="308">
        <f aca="true" t="shared" si="1" ref="P6:P15">+O6/$O$19</f>
        <v>0.09268341915659406</v>
      </c>
      <c r="Q6" s="427"/>
      <c r="R6" s="297"/>
      <c r="S6" s="297"/>
      <c r="T6" s="328"/>
      <c r="U6" s="338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s="388" customFormat="1" ht="12.75">
      <c r="A7" s="157"/>
      <c r="B7" s="157" t="s">
        <v>18</v>
      </c>
      <c r="C7" s="204">
        <v>167870</v>
      </c>
      <c r="D7" s="204">
        <v>135596</v>
      </c>
      <c r="E7" s="204">
        <v>149895.5</v>
      </c>
      <c r="F7" s="204">
        <v>169704</v>
      </c>
      <c r="G7" s="204">
        <v>168652</v>
      </c>
      <c r="H7" s="204">
        <v>152663</v>
      </c>
      <c r="I7" s="204">
        <v>119804</v>
      </c>
      <c r="J7" s="204">
        <v>85938</v>
      </c>
      <c r="K7" s="204">
        <v>62569.5</v>
      </c>
      <c r="L7" s="204">
        <v>85903</v>
      </c>
      <c r="M7" s="204">
        <v>156311</v>
      </c>
      <c r="N7" s="204">
        <v>196159</v>
      </c>
      <c r="O7" s="198">
        <f t="shared" si="0"/>
        <v>1651065</v>
      </c>
      <c r="P7" s="308">
        <f t="shared" si="1"/>
        <v>0.08040201939813003</v>
      </c>
      <c r="Q7" s="427"/>
      <c r="R7" s="297"/>
      <c r="S7" s="297"/>
      <c r="T7" s="328"/>
      <c r="U7" s="338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</row>
    <row r="8" spans="1:35" s="388" customFormat="1" ht="12.75">
      <c r="A8" s="157"/>
      <c r="B8" s="157" t="s">
        <v>19</v>
      </c>
      <c r="C8" s="204">
        <v>171030</v>
      </c>
      <c r="D8" s="204">
        <v>139585</v>
      </c>
      <c r="E8" s="204">
        <v>174750</v>
      </c>
      <c r="F8" s="204">
        <v>165535</v>
      </c>
      <c r="G8" s="204">
        <v>186452</v>
      </c>
      <c r="H8" s="204">
        <v>187665</v>
      </c>
      <c r="I8" s="204">
        <v>134495</v>
      </c>
      <c r="J8" s="204">
        <v>89202</v>
      </c>
      <c r="K8" s="204">
        <v>100126</v>
      </c>
      <c r="L8" s="204">
        <v>145986</v>
      </c>
      <c r="M8" s="204">
        <v>162922</v>
      </c>
      <c r="N8" s="204">
        <v>190876</v>
      </c>
      <c r="O8" s="198">
        <f t="shared" si="0"/>
        <v>1848624</v>
      </c>
      <c r="P8" s="308">
        <f t="shared" si="1"/>
        <v>0.09002256283541153</v>
      </c>
      <c r="Q8" s="427"/>
      <c r="R8" s="297"/>
      <c r="S8" s="297"/>
      <c r="T8" s="328"/>
      <c r="U8" s="338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s="388" customFormat="1" ht="12.75">
      <c r="A9" s="157"/>
      <c r="B9" s="157" t="s">
        <v>20</v>
      </c>
      <c r="C9" s="204">
        <v>155895</v>
      </c>
      <c r="D9" s="204">
        <v>137208</v>
      </c>
      <c r="E9" s="204">
        <v>146095</v>
      </c>
      <c r="F9" s="204">
        <v>139508</v>
      </c>
      <c r="G9" s="204">
        <v>154733</v>
      </c>
      <c r="H9" s="204">
        <v>168527</v>
      </c>
      <c r="I9" s="204">
        <v>73425</v>
      </c>
      <c r="J9" s="204">
        <v>38450</v>
      </c>
      <c r="K9" s="204">
        <v>71834</v>
      </c>
      <c r="L9" s="204">
        <v>97174</v>
      </c>
      <c r="M9" s="204">
        <v>118495</v>
      </c>
      <c r="N9" s="204">
        <v>187192</v>
      </c>
      <c r="O9" s="198">
        <f t="shared" si="0"/>
        <v>1488536</v>
      </c>
      <c r="P9" s="308">
        <f t="shared" si="1"/>
        <v>0.07248733414300157</v>
      </c>
      <c r="Q9" s="427"/>
      <c r="R9" s="297"/>
      <c r="S9" s="297"/>
      <c r="T9" s="328"/>
      <c r="U9" s="33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s="388" customFormat="1" ht="12.75">
      <c r="A10" s="157"/>
      <c r="B10" s="157" t="s">
        <v>21</v>
      </c>
      <c r="C10" s="204">
        <v>281069</v>
      </c>
      <c r="D10" s="204">
        <v>217737</v>
      </c>
      <c r="E10" s="204">
        <v>306259</v>
      </c>
      <c r="F10" s="204">
        <v>315678</v>
      </c>
      <c r="G10" s="204">
        <v>320653</v>
      </c>
      <c r="H10" s="204">
        <v>342234</v>
      </c>
      <c r="I10" s="204">
        <v>227774</v>
      </c>
      <c r="J10" s="204">
        <v>145690</v>
      </c>
      <c r="K10" s="204">
        <v>244859</v>
      </c>
      <c r="L10" s="204">
        <v>334863</v>
      </c>
      <c r="M10" s="204">
        <v>327763</v>
      </c>
      <c r="N10" s="204">
        <v>334551</v>
      </c>
      <c r="O10" s="198">
        <f t="shared" si="0"/>
        <v>3399130</v>
      </c>
      <c r="P10" s="308">
        <f t="shared" si="1"/>
        <v>0.165527654087977</v>
      </c>
      <c r="Q10" s="427"/>
      <c r="R10" s="297"/>
      <c r="S10" s="297"/>
      <c r="T10" s="328"/>
      <c r="U10" s="338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</row>
    <row r="11" spans="1:35" s="388" customFormat="1" ht="12.75">
      <c r="A11" s="157"/>
      <c r="B11" s="157" t="s">
        <v>22</v>
      </c>
      <c r="C11" s="204">
        <v>69308</v>
      </c>
      <c r="D11" s="204">
        <v>63776</v>
      </c>
      <c r="E11" s="204">
        <v>73404</v>
      </c>
      <c r="F11" s="204">
        <v>88797</v>
      </c>
      <c r="G11" s="204">
        <v>80906</v>
      </c>
      <c r="H11" s="204">
        <v>90516</v>
      </c>
      <c r="I11" s="204">
        <v>60662</v>
      </c>
      <c r="J11" s="204">
        <v>42878</v>
      </c>
      <c r="K11" s="204">
        <v>73483</v>
      </c>
      <c r="L11" s="204">
        <v>72362</v>
      </c>
      <c r="M11" s="204">
        <v>77021</v>
      </c>
      <c r="N11" s="204">
        <v>77602</v>
      </c>
      <c r="O11" s="198">
        <f t="shared" si="0"/>
        <v>870715</v>
      </c>
      <c r="P11" s="308">
        <f t="shared" si="1"/>
        <v>0.04240126483224028</v>
      </c>
      <c r="Q11" s="427"/>
      <c r="R11" s="297"/>
      <c r="S11" s="297"/>
      <c r="T11" s="328"/>
      <c r="U11" s="338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1:35" s="388" customFormat="1" ht="12.75">
      <c r="A12" s="157"/>
      <c r="B12" s="157" t="s">
        <v>23</v>
      </c>
      <c r="C12" s="204">
        <v>163458</v>
      </c>
      <c r="D12" s="204">
        <v>140151</v>
      </c>
      <c r="E12" s="204">
        <v>174159</v>
      </c>
      <c r="F12" s="204">
        <v>171627</v>
      </c>
      <c r="G12" s="204">
        <v>182089</v>
      </c>
      <c r="H12" s="204">
        <v>180186</v>
      </c>
      <c r="I12" s="204">
        <v>126784</v>
      </c>
      <c r="J12" s="204">
        <v>104779</v>
      </c>
      <c r="K12" s="204">
        <v>124186</v>
      </c>
      <c r="L12" s="204">
        <v>156006</v>
      </c>
      <c r="M12" s="204">
        <v>201662</v>
      </c>
      <c r="N12" s="204">
        <v>203920</v>
      </c>
      <c r="O12" s="198">
        <f t="shared" si="0"/>
        <v>1929007</v>
      </c>
      <c r="P12" s="308">
        <f t="shared" si="1"/>
        <v>0.09393697900029897</v>
      </c>
      <c r="Q12" s="427"/>
      <c r="R12" s="297"/>
      <c r="S12" s="297"/>
      <c r="T12" s="328"/>
      <c r="U12" s="338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1:35" s="388" customFormat="1" ht="12.75">
      <c r="A13" s="157"/>
      <c r="B13" s="157" t="s">
        <v>24</v>
      </c>
      <c r="C13" s="204">
        <v>173036</v>
      </c>
      <c r="D13" s="204">
        <v>102283</v>
      </c>
      <c r="E13" s="204">
        <v>139173</v>
      </c>
      <c r="F13" s="204">
        <v>165714</v>
      </c>
      <c r="G13" s="204">
        <v>153300</v>
      </c>
      <c r="H13" s="204">
        <v>166107</v>
      </c>
      <c r="I13" s="204">
        <v>149338</v>
      </c>
      <c r="J13" s="204">
        <v>159289</v>
      </c>
      <c r="K13" s="204">
        <v>186563</v>
      </c>
      <c r="L13" s="204">
        <v>185272</v>
      </c>
      <c r="M13" s="204">
        <v>164658</v>
      </c>
      <c r="N13" s="204">
        <v>185093</v>
      </c>
      <c r="O13" s="198">
        <f t="shared" si="0"/>
        <v>1929826</v>
      </c>
      <c r="P13" s="308">
        <f t="shared" si="1"/>
        <v>0.09397686189642182</v>
      </c>
      <c r="Q13" s="427"/>
      <c r="R13" s="297"/>
      <c r="S13" s="297"/>
      <c r="T13" s="328"/>
      <c r="U13" s="338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</row>
    <row r="14" spans="1:35" s="388" customFormat="1" ht="12.75">
      <c r="A14" s="157"/>
      <c r="B14" s="157" t="s">
        <v>25</v>
      </c>
      <c r="C14" s="204">
        <v>135107</v>
      </c>
      <c r="D14" s="204">
        <v>140196</v>
      </c>
      <c r="E14" s="204">
        <v>164359</v>
      </c>
      <c r="F14" s="204">
        <v>177027</v>
      </c>
      <c r="G14" s="204">
        <v>173471</v>
      </c>
      <c r="H14" s="204">
        <v>168335</v>
      </c>
      <c r="I14" s="204">
        <v>131692</v>
      </c>
      <c r="J14" s="204">
        <v>67483.3</v>
      </c>
      <c r="K14" s="204">
        <v>50757</v>
      </c>
      <c r="L14" s="204">
        <v>146189.75</v>
      </c>
      <c r="M14" s="204">
        <v>214433</v>
      </c>
      <c r="N14" s="204">
        <v>178289.5</v>
      </c>
      <c r="O14" s="198">
        <f t="shared" si="0"/>
        <v>1747339.55</v>
      </c>
      <c r="P14" s="308">
        <f t="shared" si="1"/>
        <v>0.08509030740414206</v>
      </c>
      <c r="Q14" s="427"/>
      <c r="R14" s="297"/>
      <c r="S14" s="297"/>
      <c r="T14" s="328"/>
      <c r="U14" s="338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</row>
    <row r="15" spans="1:66" s="389" customFormat="1" ht="12.75">
      <c r="A15" s="200"/>
      <c r="B15" s="310" t="s">
        <v>26</v>
      </c>
      <c r="C15" s="311">
        <f aca="true" t="shared" si="2" ref="C15:O15">SUM(C6:C14)</f>
        <v>1459797</v>
      </c>
      <c r="D15" s="311">
        <f t="shared" si="2"/>
        <v>1217210</v>
      </c>
      <c r="E15" s="311">
        <f t="shared" si="2"/>
        <v>1514363.5</v>
      </c>
      <c r="F15" s="311">
        <f t="shared" si="2"/>
        <v>1576278</v>
      </c>
      <c r="G15" s="311">
        <f t="shared" si="2"/>
        <v>1596471</v>
      </c>
      <c r="H15" s="311">
        <f t="shared" si="2"/>
        <v>1631165</v>
      </c>
      <c r="I15" s="311">
        <f t="shared" si="2"/>
        <v>1177673</v>
      </c>
      <c r="J15" s="311">
        <f t="shared" si="2"/>
        <v>827462.3</v>
      </c>
      <c r="K15" s="311">
        <f t="shared" si="2"/>
        <v>994507.5</v>
      </c>
      <c r="L15" s="311">
        <f t="shared" si="2"/>
        <v>1401741.75</v>
      </c>
      <c r="M15" s="311">
        <f t="shared" si="2"/>
        <v>1619522</v>
      </c>
      <c r="N15" s="311">
        <f t="shared" si="2"/>
        <v>1751316.5</v>
      </c>
      <c r="O15" s="311">
        <f t="shared" si="2"/>
        <v>16767507.55</v>
      </c>
      <c r="P15" s="312">
        <f t="shared" si="1"/>
        <v>0.8165284027542173</v>
      </c>
      <c r="Q15" s="428"/>
      <c r="R15" s="429"/>
      <c r="S15" s="429"/>
      <c r="T15" s="335"/>
      <c r="U15" s="430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66" s="389" customFormat="1" ht="12.75">
      <c r="A16" s="200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7"/>
      <c r="P16" s="312"/>
      <c r="Q16" s="428"/>
      <c r="R16" s="429"/>
      <c r="S16" s="429"/>
      <c r="T16" s="335"/>
      <c r="U16" s="430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1:35" s="388" customFormat="1" ht="12.75">
      <c r="A17" s="157"/>
      <c r="B17" s="157" t="s">
        <v>27</v>
      </c>
      <c r="C17" s="204">
        <v>341519</v>
      </c>
      <c r="D17" s="204">
        <v>262224</v>
      </c>
      <c r="E17" s="204">
        <v>378432</v>
      </c>
      <c r="F17" s="204">
        <v>449392</v>
      </c>
      <c r="G17" s="204">
        <v>414421</v>
      </c>
      <c r="H17" s="204">
        <v>405655</v>
      </c>
      <c r="I17" s="204">
        <v>220604</v>
      </c>
      <c r="J17" s="204">
        <v>125347</v>
      </c>
      <c r="K17" s="204">
        <v>159700</v>
      </c>
      <c r="L17" s="204">
        <v>215572</v>
      </c>
      <c r="M17" s="204">
        <v>415519</v>
      </c>
      <c r="N17" s="204">
        <v>379226</v>
      </c>
      <c r="O17" s="198">
        <f>SUM(C17:N17)</f>
        <v>3767611</v>
      </c>
      <c r="P17" s="308"/>
      <c r="Q17" s="42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</row>
    <row r="18" spans="1:35" s="388" customFormat="1" ht="12.75">
      <c r="A18" s="157"/>
      <c r="B18" s="157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8"/>
      <c r="P18" s="432"/>
      <c r="Q18" s="427"/>
      <c r="R18" s="297"/>
      <c r="S18" s="297"/>
      <c r="T18" s="328"/>
      <c r="U18" s="338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</row>
    <row r="19" spans="1:35" s="388" customFormat="1" ht="12.75">
      <c r="A19" s="157"/>
      <c r="B19" s="196" t="s">
        <v>28</v>
      </c>
      <c r="C19" s="321">
        <f aca="true" t="shared" si="3" ref="C19:P19">+C15+C17</f>
        <v>1801316</v>
      </c>
      <c r="D19" s="321">
        <f t="shared" si="3"/>
        <v>1479434</v>
      </c>
      <c r="E19" s="321">
        <f t="shared" si="3"/>
        <v>1892795.5</v>
      </c>
      <c r="F19" s="321">
        <f t="shared" si="3"/>
        <v>2025670</v>
      </c>
      <c r="G19" s="321">
        <f t="shared" si="3"/>
        <v>2010892</v>
      </c>
      <c r="H19" s="321">
        <f t="shared" si="3"/>
        <v>2036820</v>
      </c>
      <c r="I19" s="321">
        <f t="shared" si="3"/>
        <v>1398277</v>
      </c>
      <c r="J19" s="321">
        <f t="shared" si="3"/>
        <v>952809.3</v>
      </c>
      <c r="K19" s="321">
        <f t="shared" si="3"/>
        <v>1154207.5</v>
      </c>
      <c r="L19" s="321">
        <f t="shared" si="3"/>
        <v>1617313.75</v>
      </c>
      <c r="M19" s="321">
        <f t="shared" si="3"/>
        <v>2035041</v>
      </c>
      <c r="N19" s="321">
        <f t="shared" si="3"/>
        <v>2130542.5</v>
      </c>
      <c r="O19" s="321">
        <f t="shared" si="3"/>
        <v>20535118.55</v>
      </c>
      <c r="P19" s="322">
        <f t="shared" si="3"/>
        <v>0.8165284027542173</v>
      </c>
      <c r="Q19" s="42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</row>
    <row r="20" spans="1:35" s="388" customFormat="1" ht="12.75">
      <c r="A20" s="157"/>
      <c r="B20" s="197" t="s">
        <v>50</v>
      </c>
      <c r="C20" s="323">
        <f>C19</f>
        <v>1801316</v>
      </c>
      <c r="D20" s="323">
        <f aca="true" t="shared" si="4" ref="D20:N20">C20+D19</f>
        <v>3280750</v>
      </c>
      <c r="E20" s="323">
        <f t="shared" si="4"/>
        <v>5173545.5</v>
      </c>
      <c r="F20" s="323">
        <f t="shared" si="4"/>
        <v>7199215.5</v>
      </c>
      <c r="G20" s="323">
        <f t="shared" si="4"/>
        <v>9210107.5</v>
      </c>
      <c r="H20" s="323">
        <f t="shared" si="4"/>
        <v>11246927.5</v>
      </c>
      <c r="I20" s="323">
        <f t="shared" si="4"/>
        <v>12645204.5</v>
      </c>
      <c r="J20" s="323">
        <f t="shared" si="4"/>
        <v>13598013.8</v>
      </c>
      <c r="K20" s="323">
        <f t="shared" si="4"/>
        <v>14752221.3</v>
      </c>
      <c r="L20" s="323">
        <f t="shared" si="4"/>
        <v>16369535.05</v>
      </c>
      <c r="M20" s="323">
        <f t="shared" si="4"/>
        <v>18404576.05</v>
      </c>
      <c r="N20" s="323">
        <f t="shared" si="4"/>
        <v>20535118.55</v>
      </c>
      <c r="O20" s="323"/>
      <c r="P20" s="322"/>
      <c r="Q20" s="42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</row>
    <row r="21" spans="1:35" s="388" customFormat="1" ht="13.5" thickBot="1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5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</row>
    <row r="22" spans="1:35" ht="13.5" thickTop="1">
      <c r="A22" s="123"/>
      <c r="B22" s="121">
        <f ca="1">NOW()</f>
        <v>40948.65149502315</v>
      </c>
      <c r="C22" s="122" t="s">
        <v>63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122" t="s">
        <v>30</v>
      </c>
      <c r="B23" s="122"/>
      <c r="C23" s="123"/>
      <c r="D23" s="123"/>
      <c r="E23" s="123"/>
      <c r="F23" s="123"/>
      <c r="G23" s="123"/>
      <c r="H23" s="207"/>
      <c r="I23" s="123"/>
      <c r="J23" s="123"/>
      <c r="K23" s="123"/>
      <c r="L23" s="123"/>
      <c r="M23" s="123"/>
      <c r="N23" s="123"/>
      <c r="O23" s="123"/>
      <c r="P23" s="122" t="s">
        <v>30</v>
      </c>
      <c r="Q23" s="1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2.75">
      <c r="A24" s="123"/>
      <c r="B24" s="123"/>
      <c r="C24" s="158"/>
      <c r="D24" s="158"/>
      <c r="E24" s="158"/>
      <c r="F24" s="158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2.75">
      <c r="A25" s="123"/>
      <c r="B25" s="123"/>
      <c r="C25" s="124" t="s">
        <v>191</v>
      </c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20"/>
      <c r="P25" s="433"/>
      <c r="Q25" s="434" t="s">
        <v>30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>
      <c r="A26" s="123"/>
      <c r="B26" s="123"/>
      <c r="C26" s="125" t="s">
        <v>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/>
      <c r="P26" s="123"/>
      <c r="Q26" s="1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thickBot="1">
      <c r="A27" s="123"/>
      <c r="B27" s="127"/>
      <c r="C27" s="128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390"/>
      <c r="P27" s="423"/>
      <c r="Q27" s="4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 thickBot="1" thickTop="1">
      <c r="A28" s="123"/>
      <c r="B28" s="104"/>
      <c r="C28" s="105" t="s">
        <v>3</v>
      </c>
      <c r="D28" s="106" t="s">
        <v>4</v>
      </c>
      <c r="E28" s="106" t="s">
        <v>5</v>
      </c>
      <c r="F28" s="106" t="s">
        <v>6</v>
      </c>
      <c r="G28" s="106" t="s">
        <v>7</v>
      </c>
      <c r="H28" s="106" t="s">
        <v>8</v>
      </c>
      <c r="I28" s="106" t="s">
        <v>9</v>
      </c>
      <c r="J28" s="106" t="s">
        <v>10</v>
      </c>
      <c r="K28" s="107" t="s">
        <v>11</v>
      </c>
      <c r="L28" s="106" t="s">
        <v>12</v>
      </c>
      <c r="M28" s="106" t="s">
        <v>13</v>
      </c>
      <c r="N28" s="106" t="s">
        <v>14</v>
      </c>
      <c r="O28" s="160" t="s">
        <v>15</v>
      </c>
      <c r="P28" s="161" t="s">
        <v>16</v>
      </c>
      <c r="Q28" s="1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388" customFormat="1" ht="13.5" thickTop="1">
      <c r="A29" s="157"/>
      <c r="B29" s="157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198">
        <f aca="true" t="shared" si="5" ref="O29:O37">SUM(C29:N29)</f>
        <v>0</v>
      </c>
      <c r="P29" s="308">
        <f aca="true" t="shared" si="6" ref="P29:P37">+O29/$O$49</f>
        <v>0</v>
      </c>
      <c r="Q29" s="42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</row>
    <row r="30" spans="1:35" s="388" customFormat="1" ht="12.75">
      <c r="A30" s="157"/>
      <c r="B30" s="157" t="s">
        <v>17</v>
      </c>
      <c r="C30" s="204">
        <v>566314</v>
      </c>
      <c r="D30" s="204">
        <v>650398</v>
      </c>
      <c r="E30" s="204">
        <v>858541</v>
      </c>
      <c r="F30" s="204">
        <v>816552</v>
      </c>
      <c r="G30" s="204">
        <v>817846</v>
      </c>
      <c r="H30" s="204">
        <v>766341</v>
      </c>
      <c r="I30" s="204">
        <v>623768</v>
      </c>
      <c r="J30" s="204">
        <v>367417</v>
      </c>
      <c r="K30" s="204">
        <v>339498</v>
      </c>
      <c r="L30" s="204">
        <v>809353</v>
      </c>
      <c r="M30" s="204">
        <v>909009</v>
      </c>
      <c r="N30" s="204">
        <v>936967</v>
      </c>
      <c r="O30" s="198">
        <f t="shared" si="5"/>
        <v>8462004</v>
      </c>
      <c r="P30" s="308">
        <f t="shared" si="6"/>
        <v>0.09706288558233145</v>
      </c>
      <c r="Q30" s="42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388" customFormat="1" ht="12.75">
      <c r="A31" s="157"/>
      <c r="B31" s="157" t="s">
        <v>18</v>
      </c>
      <c r="C31" s="204">
        <v>702812</v>
      </c>
      <c r="D31" s="204">
        <v>581900</v>
      </c>
      <c r="E31" s="204">
        <v>633185</v>
      </c>
      <c r="F31" s="204">
        <v>721440</v>
      </c>
      <c r="G31" s="204">
        <v>720471</v>
      </c>
      <c r="H31" s="204">
        <v>624141</v>
      </c>
      <c r="I31" s="204">
        <v>459341</v>
      </c>
      <c r="J31" s="204">
        <v>319878</v>
      </c>
      <c r="K31" s="204">
        <v>236036</v>
      </c>
      <c r="L31" s="204">
        <v>347366</v>
      </c>
      <c r="M31" s="204">
        <v>657401</v>
      </c>
      <c r="N31" s="204">
        <v>839880</v>
      </c>
      <c r="O31" s="198">
        <f t="shared" si="5"/>
        <v>6843851</v>
      </c>
      <c r="P31" s="308">
        <f t="shared" si="6"/>
        <v>0.07850196319400518</v>
      </c>
      <c r="Q31" s="42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</row>
    <row r="32" spans="1:35" s="388" customFormat="1" ht="12.75">
      <c r="A32" s="157"/>
      <c r="B32" s="157" t="s">
        <v>19</v>
      </c>
      <c r="C32" s="204">
        <v>719045</v>
      </c>
      <c r="D32" s="204">
        <v>605969</v>
      </c>
      <c r="E32" s="204">
        <v>734759</v>
      </c>
      <c r="F32" s="204">
        <v>736649</v>
      </c>
      <c r="G32" s="204">
        <v>814644</v>
      </c>
      <c r="H32" s="204">
        <v>794020</v>
      </c>
      <c r="I32" s="204">
        <v>523543</v>
      </c>
      <c r="J32" s="204">
        <v>338317</v>
      </c>
      <c r="K32" s="204">
        <v>383635</v>
      </c>
      <c r="L32" s="204">
        <v>606811</v>
      </c>
      <c r="M32" s="204">
        <v>693686</v>
      </c>
      <c r="N32" s="204">
        <v>822382</v>
      </c>
      <c r="O32" s="198">
        <f t="shared" si="5"/>
        <v>7773460</v>
      </c>
      <c r="P32" s="308">
        <f t="shared" si="6"/>
        <v>0.08916498486160372</v>
      </c>
      <c r="Q32" s="435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</row>
    <row r="33" spans="1:35" s="388" customFormat="1" ht="12.75">
      <c r="A33" s="157"/>
      <c r="B33" s="157" t="s">
        <v>105</v>
      </c>
      <c r="C33" s="204">
        <v>701528</v>
      </c>
      <c r="D33" s="204">
        <v>612472</v>
      </c>
      <c r="E33" s="204">
        <v>685454</v>
      </c>
      <c r="F33" s="204">
        <v>645019</v>
      </c>
      <c r="G33" s="204">
        <v>724414</v>
      </c>
      <c r="H33" s="204">
        <v>659749</v>
      </c>
      <c r="I33" s="204">
        <v>293703</v>
      </c>
      <c r="J33" s="204">
        <v>166828</v>
      </c>
      <c r="K33" s="204">
        <v>297892</v>
      </c>
      <c r="L33" s="204">
        <v>417888</v>
      </c>
      <c r="M33" s="204">
        <v>511774</v>
      </c>
      <c r="N33" s="204">
        <v>819845</v>
      </c>
      <c r="O33" s="198">
        <f t="shared" si="5"/>
        <v>6536566</v>
      </c>
      <c r="P33" s="308">
        <f t="shared" si="6"/>
        <v>0.07497726989485681</v>
      </c>
      <c r="Q33" s="42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</row>
    <row r="34" spans="1:35" s="388" customFormat="1" ht="12.75">
      <c r="A34" s="157"/>
      <c r="B34" s="157" t="s">
        <v>104</v>
      </c>
      <c r="C34" s="204">
        <v>359177</v>
      </c>
      <c r="D34" s="204">
        <v>250283</v>
      </c>
      <c r="E34" s="204">
        <v>287731</v>
      </c>
      <c r="F34" s="204">
        <v>399777</v>
      </c>
      <c r="G34" s="204">
        <v>418529</v>
      </c>
      <c r="H34" s="204">
        <v>350489</v>
      </c>
      <c r="I34" s="204">
        <v>206207</v>
      </c>
      <c r="J34" s="204">
        <v>157744</v>
      </c>
      <c r="K34" s="204">
        <v>180692</v>
      </c>
      <c r="L34" s="204">
        <v>202874</v>
      </c>
      <c r="M34" s="204">
        <v>304609</v>
      </c>
      <c r="N34" s="204">
        <v>403741</v>
      </c>
      <c r="O34" s="198">
        <f t="shared" si="5"/>
        <v>3521853</v>
      </c>
      <c r="P34" s="308">
        <f t="shared" si="6"/>
        <v>0.04039719371165397</v>
      </c>
      <c r="Q34" s="42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</row>
    <row r="35" spans="1:35" s="388" customFormat="1" ht="12.75">
      <c r="A35" s="157"/>
      <c r="B35" s="157" t="s">
        <v>21</v>
      </c>
      <c r="C35" s="204">
        <v>1200194</v>
      </c>
      <c r="D35" s="204">
        <v>944681</v>
      </c>
      <c r="E35" s="204">
        <v>1323039</v>
      </c>
      <c r="F35" s="204">
        <v>1358346</v>
      </c>
      <c r="G35" s="204">
        <v>1311627</v>
      </c>
      <c r="H35" s="204">
        <v>1402809</v>
      </c>
      <c r="I35" s="204">
        <v>824541</v>
      </c>
      <c r="J35" s="204">
        <v>541573</v>
      </c>
      <c r="K35" s="204">
        <v>981587</v>
      </c>
      <c r="L35" s="204">
        <v>1410390</v>
      </c>
      <c r="M35" s="204">
        <v>1412659</v>
      </c>
      <c r="N35" s="204">
        <v>1639301</v>
      </c>
      <c r="O35" s="198">
        <f t="shared" si="5"/>
        <v>14350747</v>
      </c>
      <c r="P35" s="308">
        <f t="shared" si="6"/>
        <v>0.1646093424302312</v>
      </c>
      <c r="Q35" s="435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</row>
    <row r="36" spans="1:35" s="388" customFormat="1" ht="12.75">
      <c r="A36" s="157"/>
      <c r="B36" s="157" t="s">
        <v>22</v>
      </c>
      <c r="C36" s="204">
        <v>267059</v>
      </c>
      <c r="D36" s="204">
        <v>286049</v>
      </c>
      <c r="E36" s="204">
        <v>302623</v>
      </c>
      <c r="F36" s="204">
        <v>377881</v>
      </c>
      <c r="G36" s="208">
        <v>345062</v>
      </c>
      <c r="H36" s="208">
        <v>370767</v>
      </c>
      <c r="I36" s="204">
        <v>240642</v>
      </c>
      <c r="J36" s="204">
        <v>210658</v>
      </c>
      <c r="K36" s="204">
        <v>293772</v>
      </c>
      <c r="L36" s="204">
        <v>305582</v>
      </c>
      <c r="M36" s="204">
        <v>324489</v>
      </c>
      <c r="N36" s="204">
        <v>330489</v>
      </c>
      <c r="O36" s="198">
        <f t="shared" si="5"/>
        <v>3655073</v>
      </c>
      <c r="P36" s="308">
        <f t="shared" si="6"/>
        <v>0.04192528535723558</v>
      </c>
      <c r="Q36" s="435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</row>
    <row r="37" spans="1:35" s="388" customFormat="1" ht="12.75">
      <c r="A37" s="157"/>
      <c r="B37" s="157" t="s">
        <v>24</v>
      </c>
      <c r="C37" s="204">
        <v>700247</v>
      </c>
      <c r="D37" s="204">
        <v>476870</v>
      </c>
      <c r="E37" s="204">
        <v>582662</v>
      </c>
      <c r="F37" s="204">
        <v>696315</v>
      </c>
      <c r="G37" s="208">
        <v>640679</v>
      </c>
      <c r="H37" s="204">
        <v>674325</v>
      </c>
      <c r="I37" s="204">
        <v>560562</v>
      </c>
      <c r="J37" s="204">
        <v>586822</v>
      </c>
      <c r="K37" s="204">
        <v>694333</v>
      </c>
      <c r="L37" s="204">
        <v>543779</v>
      </c>
      <c r="M37" s="204">
        <v>686708</v>
      </c>
      <c r="N37" s="204">
        <v>740222</v>
      </c>
      <c r="O37" s="198">
        <f t="shared" si="5"/>
        <v>7583524</v>
      </c>
      <c r="P37" s="308">
        <f t="shared" si="6"/>
        <v>0.0869863358990216</v>
      </c>
      <c r="Q37" s="42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3:14" ht="12.75">
      <c r="M38" s="204"/>
      <c r="N38" s="204"/>
    </row>
    <row r="39" spans="1:35" s="388" customFormat="1" ht="12.75">
      <c r="A39" s="157"/>
      <c r="B39" s="157" t="s">
        <v>25</v>
      </c>
      <c r="C39" s="204">
        <v>743807</v>
      </c>
      <c r="D39" s="204">
        <v>641997</v>
      </c>
      <c r="E39" s="204">
        <v>735765</v>
      </c>
      <c r="F39" s="204">
        <v>784746</v>
      </c>
      <c r="G39" s="204">
        <v>773433</v>
      </c>
      <c r="H39" s="204">
        <v>717709</v>
      </c>
      <c r="I39" s="204">
        <v>475802</v>
      </c>
      <c r="J39" s="204">
        <v>252269</v>
      </c>
      <c r="K39" s="204">
        <v>198759</v>
      </c>
      <c r="L39" s="204">
        <v>634004</v>
      </c>
      <c r="M39" s="204">
        <v>975658</v>
      </c>
      <c r="N39" s="204">
        <v>812581</v>
      </c>
      <c r="O39" s="198">
        <f>SUM(C39:N39)</f>
        <v>7746530</v>
      </c>
      <c r="P39" s="308">
        <f>+O39/$O$49</f>
        <v>0.08885608598744435</v>
      </c>
      <c r="Q39" s="42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s="388" customFormat="1" ht="12.75">
      <c r="A40" s="157"/>
      <c r="B40" s="346" t="s">
        <v>26</v>
      </c>
      <c r="C40" s="198">
        <f>SUM(C29:C39)</f>
        <v>5960183</v>
      </c>
      <c r="D40" s="198">
        <f aca="true" t="shared" si="7" ref="D40:N40">SUM(D29:D39)</f>
        <v>5050619</v>
      </c>
      <c r="E40" s="198">
        <f t="shared" si="7"/>
        <v>6143759</v>
      </c>
      <c r="F40" s="198">
        <f t="shared" si="7"/>
        <v>6536725</v>
      </c>
      <c r="G40" s="198">
        <f t="shared" si="7"/>
        <v>6566705</v>
      </c>
      <c r="H40" s="198">
        <f t="shared" si="7"/>
        <v>6360350</v>
      </c>
      <c r="I40" s="198">
        <f t="shared" si="7"/>
        <v>4208109</v>
      </c>
      <c r="J40" s="198">
        <f t="shared" si="7"/>
        <v>2941506</v>
      </c>
      <c r="K40" s="198">
        <f t="shared" si="7"/>
        <v>3606204</v>
      </c>
      <c r="L40" s="198">
        <f t="shared" si="7"/>
        <v>5278047</v>
      </c>
      <c r="M40" s="198">
        <f t="shared" si="7"/>
        <v>6475993</v>
      </c>
      <c r="N40" s="198">
        <f t="shared" si="7"/>
        <v>7345408</v>
      </c>
      <c r="O40" s="198">
        <f>SUM(O30:O39)</f>
        <v>66473608</v>
      </c>
      <c r="P40" s="308">
        <f>+O40/$O$49</f>
        <v>0.7624813469183839</v>
      </c>
      <c r="Q40" s="42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</row>
    <row r="41" spans="1:35" s="388" customFormat="1" ht="12.75">
      <c r="A41" s="157"/>
      <c r="B41" s="346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308"/>
      <c r="Q41" s="42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 s="388" customFormat="1" ht="12.75">
      <c r="A42" s="157"/>
      <c r="B42" s="346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308"/>
      <c r="Q42" s="42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 s="388" customFormat="1" ht="12.75">
      <c r="A43" s="157"/>
      <c r="B43" s="157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  <c r="P43" s="432"/>
      <c r="Q43" s="42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</row>
    <row r="44" spans="1:35" s="388" customFormat="1" ht="12.75">
      <c r="A44" s="157"/>
      <c r="B44" s="157" t="s">
        <v>27</v>
      </c>
      <c r="C44" s="204">
        <v>1328411</v>
      </c>
      <c r="D44" s="204">
        <v>940514</v>
      </c>
      <c r="E44" s="204">
        <v>1390639</v>
      </c>
      <c r="F44" s="204">
        <v>1603390</v>
      </c>
      <c r="G44" s="204">
        <v>1445505</v>
      </c>
      <c r="H44" s="204">
        <v>1367114</v>
      </c>
      <c r="I44" s="204">
        <v>614155</v>
      </c>
      <c r="J44" s="204">
        <v>335251</v>
      </c>
      <c r="K44" s="204">
        <v>420527</v>
      </c>
      <c r="L44" s="204">
        <v>713756</v>
      </c>
      <c r="M44" s="204">
        <v>1367529</v>
      </c>
      <c r="N44" s="204">
        <v>1219213</v>
      </c>
      <c r="O44" s="198">
        <f>SUM(C44:N44)</f>
        <v>12746004</v>
      </c>
      <c r="P44" s="308">
        <f>+O44/$O$49</f>
        <v>0.1462022386049379</v>
      </c>
      <c r="Q44" s="42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 s="388" customFormat="1" ht="12.75">
      <c r="A45" s="157"/>
      <c r="B45" s="157" t="s">
        <v>57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198">
        <f>SUM(C45:N45)</f>
        <v>0</v>
      </c>
      <c r="P45" s="308">
        <f>+O45/$O$49</f>
        <v>0</v>
      </c>
      <c r="Q45" s="42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</row>
    <row r="46" spans="1:35" s="388" customFormat="1" ht="12.75">
      <c r="A46" s="157"/>
      <c r="B46" s="157" t="s">
        <v>106</v>
      </c>
      <c r="C46" s="204">
        <v>710694</v>
      </c>
      <c r="D46" s="204">
        <v>601975</v>
      </c>
      <c r="E46" s="204">
        <v>741730</v>
      </c>
      <c r="F46" s="204">
        <v>725682</v>
      </c>
      <c r="G46" s="204">
        <v>778278</v>
      </c>
      <c r="H46" s="204">
        <v>730062</v>
      </c>
      <c r="I46" s="204">
        <v>488617</v>
      </c>
      <c r="J46" s="204">
        <v>386382</v>
      </c>
      <c r="K46" s="204">
        <v>472612</v>
      </c>
      <c r="L46" s="204">
        <v>624851</v>
      </c>
      <c r="M46" s="204">
        <v>829489</v>
      </c>
      <c r="N46" s="204">
        <v>870651</v>
      </c>
      <c r="O46" s="198">
        <f>SUM(C46:N46)</f>
        <v>7961023</v>
      </c>
      <c r="P46" s="308">
        <f>+O46/$O$49</f>
        <v>0.09131641447667822</v>
      </c>
      <c r="Q46" s="435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 s="388" customFormat="1" ht="12.75">
      <c r="A47" s="157"/>
      <c r="B47" s="157" t="s">
        <v>107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198">
        <f>SUM(C47:N47)</f>
        <v>0</v>
      </c>
      <c r="P47" s="308">
        <f>+O47/$O$49</f>
        <v>0</v>
      </c>
      <c r="Q47" s="435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 s="388" customFormat="1" ht="12.75">
      <c r="A48" s="157"/>
      <c r="B48" s="15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432"/>
      <c r="Q48" s="42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</row>
    <row r="49" spans="1:35" s="388" customFormat="1" ht="12.75">
      <c r="A49" s="157"/>
      <c r="B49" s="196" t="s">
        <v>28</v>
      </c>
      <c r="C49" s="321">
        <f aca="true" t="shared" si="8" ref="C49:N49">+C40+C44+C45+C46+C47</f>
        <v>7999288</v>
      </c>
      <c r="D49" s="321">
        <f t="shared" si="8"/>
        <v>6593108</v>
      </c>
      <c r="E49" s="321">
        <f t="shared" si="8"/>
        <v>8276128</v>
      </c>
      <c r="F49" s="321">
        <f t="shared" si="8"/>
        <v>8865797</v>
      </c>
      <c r="G49" s="321">
        <f t="shared" si="8"/>
        <v>8790488</v>
      </c>
      <c r="H49" s="321">
        <f t="shared" si="8"/>
        <v>8457526</v>
      </c>
      <c r="I49" s="321">
        <f t="shared" si="8"/>
        <v>5310881</v>
      </c>
      <c r="J49" s="321">
        <f t="shared" si="8"/>
        <v>3663139</v>
      </c>
      <c r="K49" s="321">
        <f t="shared" si="8"/>
        <v>4499343</v>
      </c>
      <c r="L49" s="321">
        <f>+L40+L44+L45+L46+L47</f>
        <v>6616654</v>
      </c>
      <c r="M49" s="321">
        <f t="shared" si="8"/>
        <v>8673011</v>
      </c>
      <c r="N49" s="321">
        <f t="shared" si="8"/>
        <v>9435272</v>
      </c>
      <c r="O49" s="321">
        <f>+O40+O44+O45+O46+O47</f>
        <v>87180635</v>
      </c>
      <c r="P49" s="322">
        <f>+P40+P44+P45</f>
        <v>0.9086835855233217</v>
      </c>
      <c r="Q49" s="42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 s="388" customFormat="1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</row>
    <row r="51" spans="1:35" s="388" customFormat="1" ht="12.75">
      <c r="A51" s="157"/>
      <c r="B51" s="201">
        <f ca="1">NOW()</f>
        <v>40948.65149502315</v>
      </c>
      <c r="C51" s="202" t="s">
        <v>58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 s="388" customFormat="1" ht="12.75">
      <c r="A52" s="157"/>
      <c r="B52" s="201"/>
      <c r="C52" s="202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 s="388" customFormat="1" ht="12.75">
      <c r="A53" s="157"/>
      <c r="B53" s="201"/>
      <c r="C53" s="202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 ht="12.75">
      <c r="A54" s="123"/>
      <c r="B54" s="121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2.75">
      <c r="A55" s="123"/>
      <c r="B55" s="121"/>
      <c r="C55" s="19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123"/>
      <c r="B56" s="121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2.75">
      <c r="A57" s="122" t="s">
        <v>30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2" t="s">
        <v>30</v>
      </c>
      <c r="Q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2.75">
      <c r="A65" s="23" t="s">
        <v>46</v>
      </c>
      <c r="B65" s="23"/>
      <c r="C65" s="286" t="s">
        <v>47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3"/>
      <c r="P65" s="300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2.75">
      <c r="A66" s="23"/>
      <c r="B66" s="23"/>
      <c r="C66" s="287" t="s">
        <v>2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thickBot="1">
      <c r="A67" s="23"/>
      <c r="B67" s="289"/>
      <c r="C67" s="290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>
        <v>1998</v>
      </c>
      <c r="P67" s="289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thickBot="1" thickTop="1">
      <c r="A68" s="23"/>
      <c r="B68" s="293"/>
      <c r="C68" s="294" t="s">
        <v>3</v>
      </c>
      <c r="D68" s="295" t="s">
        <v>4</v>
      </c>
      <c r="E68" s="295" t="s">
        <v>5</v>
      </c>
      <c r="F68" s="295" t="s">
        <v>6</v>
      </c>
      <c r="G68" s="295" t="s">
        <v>7</v>
      </c>
      <c r="H68" s="295" t="s">
        <v>8</v>
      </c>
      <c r="I68" s="295" t="s">
        <v>9</v>
      </c>
      <c r="J68" s="295" t="s">
        <v>10</v>
      </c>
      <c r="K68" s="296" t="s">
        <v>11</v>
      </c>
      <c r="L68" s="295" t="s">
        <v>12</v>
      </c>
      <c r="M68" s="295" t="s">
        <v>13</v>
      </c>
      <c r="N68" s="295" t="s">
        <v>14</v>
      </c>
      <c r="O68" s="301" t="s">
        <v>15</v>
      </c>
      <c r="P68" s="302" t="s">
        <v>16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3.5" thickTop="1">
      <c r="A69" s="23"/>
      <c r="B69" s="392"/>
      <c r="C69" s="393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3"/>
      <c r="P69" s="436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2.75">
      <c r="A70" s="23"/>
      <c r="B70" s="394" t="s">
        <v>42</v>
      </c>
      <c r="C70" s="437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97"/>
      <c r="P70" s="439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2.75">
      <c r="A71" s="23"/>
      <c r="B71" s="398" t="s">
        <v>33</v>
      </c>
      <c r="C71" s="440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397">
        <f>SUM(C71:N71)</f>
        <v>0</v>
      </c>
      <c r="P71" s="439" t="e">
        <f>+O71/$O$95</f>
        <v>#DIV/0!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2.75">
      <c r="A72" s="23"/>
      <c r="B72" s="394" t="s">
        <v>34</v>
      </c>
      <c r="C72" s="440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397">
        <f>SUM(C72:N72)</f>
        <v>0</v>
      </c>
      <c r="P72" s="439" t="e">
        <f>+O72/$O$96</f>
        <v>#DIV/0!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2.75">
      <c r="A73" s="23"/>
      <c r="B73" s="398"/>
      <c r="C73" s="440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397"/>
      <c r="P73" s="439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2.75">
      <c r="A74" s="23"/>
      <c r="B74" s="398" t="s">
        <v>43</v>
      </c>
      <c r="C74" s="440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397"/>
      <c r="P74" s="439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2.75">
      <c r="A75" s="23"/>
      <c r="B75" s="398" t="s">
        <v>33</v>
      </c>
      <c r="C75" s="440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397">
        <f>SUM(C75:N75)</f>
        <v>0</v>
      </c>
      <c r="P75" s="439" t="e">
        <f>+O75/$O$95</f>
        <v>#DIV/0!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2.75">
      <c r="A76" s="23"/>
      <c r="B76" s="394" t="s">
        <v>34</v>
      </c>
      <c r="C76" s="440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397">
        <f>SUM(C76:N76)</f>
        <v>0</v>
      </c>
      <c r="P76" s="439" t="e">
        <f>+O76/$O$96</f>
        <v>#DIV/0!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2.75">
      <c r="A77" s="23"/>
      <c r="B77" s="398"/>
      <c r="C77" s="440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397"/>
      <c r="P77" s="439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2.75">
      <c r="A78" s="23"/>
      <c r="B78" s="394" t="s">
        <v>32</v>
      </c>
      <c r="C78" s="440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397"/>
      <c r="P78" s="4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2.75">
      <c r="A79" s="23"/>
      <c r="B79" s="398" t="s">
        <v>33</v>
      </c>
      <c r="C79" s="440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397">
        <f>SUM(C79:N79)</f>
        <v>0</v>
      </c>
      <c r="P79" s="439" t="e">
        <f>+O79/$O$95</f>
        <v>#DIV/0!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2.75">
      <c r="A80" s="23"/>
      <c r="B80" s="394" t="s">
        <v>34</v>
      </c>
      <c r="C80" s="440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97">
        <f>SUM(C80:N80)</f>
        <v>0</v>
      </c>
      <c r="P80" s="439" t="e">
        <f>+O80/$O$96</f>
        <v>#DIV/0!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2.75">
      <c r="A81" s="23"/>
      <c r="B81" s="398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397"/>
      <c r="P81" s="439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2.75">
      <c r="A82" s="23"/>
      <c r="B82" s="394" t="s">
        <v>44</v>
      </c>
      <c r="C82" s="440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397"/>
      <c r="P82" s="4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2.75">
      <c r="A83" s="23"/>
      <c r="B83" s="398" t="s">
        <v>33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397">
        <f>SUM(C83:N83)</f>
        <v>0</v>
      </c>
      <c r="P83" s="439" t="e">
        <f>+O83/$O$95</f>
        <v>#DIV/0!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2.75">
      <c r="A84" s="23"/>
      <c r="B84" s="394" t="s">
        <v>34</v>
      </c>
      <c r="C84" s="440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397">
        <f>SUM(C84:N84)</f>
        <v>0</v>
      </c>
      <c r="P84" s="439" t="e">
        <f>+O84/$O$96</f>
        <v>#DIV/0!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2.75">
      <c r="A85" s="23"/>
      <c r="B85" s="398"/>
      <c r="C85" s="440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397"/>
      <c r="P85" s="439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2.75">
      <c r="A86" s="23"/>
      <c r="B86" s="400" t="s">
        <v>28</v>
      </c>
      <c r="C86" s="440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97"/>
      <c r="P86" s="43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2.75">
      <c r="A87" s="23"/>
      <c r="B87" s="402" t="s">
        <v>33</v>
      </c>
      <c r="C87" s="414">
        <f aca="true" t="shared" si="9" ref="C87:N88">+C71+C75+C79+C83</f>
        <v>0</v>
      </c>
      <c r="D87" s="442">
        <f t="shared" si="9"/>
        <v>0</v>
      </c>
      <c r="E87" s="442">
        <f t="shared" si="9"/>
        <v>0</v>
      </c>
      <c r="F87" s="442">
        <f t="shared" si="9"/>
        <v>0</v>
      </c>
      <c r="G87" s="442">
        <f t="shared" si="9"/>
        <v>0</v>
      </c>
      <c r="H87" s="442">
        <f t="shared" si="9"/>
        <v>0</v>
      </c>
      <c r="I87" s="442">
        <f t="shared" si="9"/>
        <v>0</v>
      </c>
      <c r="J87" s="442">
        <f t="shared" si="9"/>
        <v>0</v>
      </c>
      <c r="K87" s="442">
        <f t="shared" si="9"/>
        <v>0</v>
      </c>
      <c r="L87" s="442">
        <f t="shared" si="9"/>
        <v>0</v>
      </c>
      <c r="M87" s="442">
        <f t="shared" si="9"/>
        <v>0</v>
      </c>
      <c r="N87" s="442">
        <f t="shared" si="9"/>
        <v>0</v>
      </c>
      <c r="O87" s="405">
        <f>SUM(C87:N87)</f>
        <v>0</v>
      </c>
      <c r="P87" s="443" t="e">
        <f>+P71+P75+P79+P83</f>
        <v>#DIV/0!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2.75">
      <c r="A88" s="23"/>
      <c r="B88" s="406" t="s">
        <v>34</v>
      </c>
      <c r="C88" s="414">
        <f t="shared" si="9"/>
        <v>0</v>
      </c>
      <c r="D88" s="442">
        <f t="shared" si="9"/>
        <v>0</v>
      </c>
      <c r="E88" s="442">
        <f t="shared" si="9"/>
        <v>0</v>
      </c>
      <c r="F88" s="442">
        <f t="shared" si="9"/>
        <v>0</v>
      </c>
      <c r="G88" s="442">
        <f t="shared" si="9"/>
        <v>0</v>
      </c>
      <c r="H88" s="442">
        <f t="shared" si="9"/>
        <v>0</v>
      </c>
      <c r="I88" s="442">
        <f t="shared" si="9"/>
        <v>0</v>
      </c>
      <c r="J88" s="442">
        <f t="shared" si="9"/>
        <v>0</v>
      </c>
      <c r="K88" s="442">
        <f t="shared" si="9"/>
        <v>0</v>
      </c>
      <c r="L88" s="442">
        <f t="shared" si="9"/>
        <v>0</v>
      </c>
      <c r="M88" s="442">
        <f t="shared" si="9"/>
        <v>0</v>
      </c>
      <c r="N88" s="442">
        <f t="shared" si="9"/>
        <v>0</v>
      </c>
      <c r="O88" s="405">
        <f>SUM(C88:N88)</f>
        <v>0</v>
      </c>
      <c r="P88" s="443" t="e">
        <f>+P72+P76+P80+P84</f>
        <v>#DIV/0!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2.75">
      <c r="A89" s="23"/>
      <c r="B89" s="408"/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10"/>
      <c r="P89" s="446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2.75">
      <c r="A90" s="23"/>
      <c r="B90" s="411" t="s">
        <v>27</v>
      </c>
      <c r="C90" s="440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97"/>
      <c r="P90" s="4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2.75">
      <c r="A91" s="23"/>
      <c r="B91" s="398" t="s">
        <v>33</v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97">
        <f>SUM(C91:N91)</f>
        <v>0</v>
      </c>
      <c r="P91" s="439" t="e">
        <f>+O91/$O$95</f>
        <v>#DIV/0!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2.75">
      <c r="A92" s="23"/>
      <c r="B92" s="394" t="s">
        <v>34</v>
      </c>
      <c r="C92" s="440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97">
        <f>SUM(C92:N92)</f>
        <v>0</v>
      </c>
      <c r="P92" s="439" t="e">
        <f>+O92/$O$96</f>
        <v>#DIV/0!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2.75">
      <c r="A93" s="23"/>
      <c r="B93" s="394"/>
      <c r="C93" s="440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97"/>
      <c r="P93" s="439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2.75">
      <c r="A94" s="23"/>
      <c r="B94" s="406" t="s">
        <v>45</v>
      </c>
      <c r="C94" s="440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97"/>
      <c r="P94" s="439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2.75">
      <c r="A95" s="23"/>
      <c r="B95" s="402" t="s">
        <v>33</v>
      </c>
      <c r="C95" s="414">
        <f aca="true" t="shared" si="10" ref="C95:P96">+C87+C91</f>
        <v>0</v>
      </c>
      <c r="D95" s="442">
        <f t="shared" si="10"/>
        <v>0</v>
      </c>
      <c r="E95" s="442">
        <f t="shared" si="10"/>
        <v>0</v>
      </c>
      <c r="F95" s="442">
        <f t="shared" si="10"/>
        <v>0</v>
      </c>
      <c r="G95" s="442">
        <f t="shared" si="10"/>
        <v>0</v>
      </c>
      <c r="H95" s="442">
        <f t="shared" si="10"/>
        <v>0</v>
      </c>
      <c r="I95" s="442">
        <f t="shared" si="10"/>
        <v>0</v>
      </c>
      <c r="J95" s="442">
        <f t="shared" si="10"/>
        <v>0</v>
      </c>
      <c r="K95" s="442">
        <f t="shared" si="10"/>
        <v>0</v>
      </c>
      <c r="L95" s="442">
        <f t="shared" si="10"/>
        <v>0</v>
      </c>
      <c r="M95" s="442">
        <f t="shared" si="10"/>
        <v>0</v>
      </c>
      <c r="N95" s="442">
        <f t="shared" si="10"/>
        <v>0</v>
      </c>
      <c r="O95" s="414">
        <f t="shared" si="10"/>
        <v>0</v>
      </c>
      <c r="P95" s="443" t="e">
        <f t="shared" si="10"/>
        <v>#DIV/0!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2.75">
      <c r="A96" s="23"/>
      <c r="B96" s="406" t="s">
        <v>34</v>
      </c>
      <c r="C96" s="414">
        <f t="shared" si="10"/>
        <v>0</v>
      </c>
      <c r="D96" s="442">
        <f t="shared" si="10"/>
        <v>0</v>
      </c>
      <c r="E96" s="442">
        <f t="shared" si="10"/>
        <v>0</v>
      </c>
      <c r="F96" s="442">
        <f t="shared" si="10"/>
        <v>0</v>
      </c>
      <c r="G96" s="442">
        <f t="shared" si="10"/>
        <v>0</v>
      </c>
      <c r="H96" s="442">
        <f t="shared" si="10"/>
        <v>0</v>
      </c>
      <c r="I96" s="442">
        <f t="shared" si="10"/>
        <v>0</v>
      </c>
      <c r="J96" s="442">
        <f t="shared" si="10"/>
        <v>0</v>
      </c>
      <c r="K96" s="442">
        <f t="shared" si="10"/>
        <v>0</v>
      </c>
      <c r="L96" s="442">
        <f t="shared" si="10"/>
        <v>0</v>
      </c>
      <c r="M96" s="442">
        <f t="shared" si="10"/>
        <v>0</v>
      </c>
      <c r="N96" s="442">
        <f t="shared" si="10"/>
        <v>0</v>
      </c>
      <c r="O96" s="414">
        <f t="shared" si="10"/>
        <v>0</v>
      </c>
      <c r="P96" s="443" t="e">
        <f t="shared" si="10"/>
        <v>#DIV/0!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3.5" thickBot="1">
      <c r="A97" s="23"/>
      <c r="B97" s="2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16"/>
      <c r="P97" s="44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3.5" thickTop="1">
      <c r="A98" s="23"/>
      <c r="B98" s="1" t="s">
        <v>40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2.75">
      <c r="A99" s="1" t="s">
        <v>30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1" t="s">
        <v>30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RWANDA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MINIPLAN</dc:creator>
  <cp:keywords/>
  <dc:description/>
  <cp:lastModifiedBy>Kate</cp:lastModifiedBy>
  <cp:lastPrinted>2002-10-28T11:37:33Z</cp:lastPrinted>
  <dcterms:created xsi:type="dcterms:W3CDTF">1997-02-28T16:56:27Z</dcterms:created>
  <dcterms:modified xsi:type="dcterms:W3CDTF">2012-02-09T13:38:11Z</dcterms:modified>
  <cp:category/>
  <cp:version/>
  <cp:contentType/>
  <cp:contentStatus/>
</cp:coreProperties>
</file>